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ropbox\JGA\01.- DSC y CB\06.- Operativo\04.- Contables\03.- Mensuales\PVE930101JS1\02.- Contable\07.- 2024\202401\07.- Activo fijo\"/>
    </mc:Choice>
  </mc:AlternateContent>
  <xr:revisionPtr revIDLastSave="0" documentId="13_ncr:1_{731D5D51-106E-43F9-8662-1FB118489181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2024" sheetId="7" r:id="rId1"/>
    <sheet name="Todos (2)" sheetId="5" state="hidden" r:id="rId2"/>
  </sheets>
  <definedNames>
    <definedName name="_xlnm._FilterDatabase" localSheetId="0" hidden="1">'2024'!$N$7:$W$57</definedName>
    <definedName name="_xlnm._FilterDatabase" localSheetId="1" hidden="1">'Todos (2)'!$A$7:$P$38</definedName>
    <definedName name="_xlnm.Print_Area" localSheetId="0">'2024'!$N$1:$W$57</definedName>
    <definedName name="_xlnm.Print_Area" localSheetId="1">'Todos (2)'!$A$7:$L$9</definedName>
    <definedName name="_xlnm.Print_Titles" localSheetId="0">'2024'!$1:$7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6" i="7" l="1"/>
  <c r="R50" i="7"/>
  <c r="S48" i="7"/>
  <c r="T49" i="7" s="1"/>
  <c r="R48" i="7"/>
  <c r="S47" i="7"/>
  <c r="R47" i="7"/>
  <c r="Q47" i="7" s="1"/>
  <c r="R41" i="7"/>
  <c r="R23" i="7"/>
  <c r="R22" i="7"/>
  <c r="T47" i="7"/>
  <c r="Q50" i="7" l="1"/>
  <c r="R46" i="7"/>
  <c r="Q46" i="7" s="1"/>
  <c r="R20" i="7"/>
  <c r="R18" i="7"/>
  <c r="Q18" i="7" s="1"/>
  <c r="Q41" i="7"/>
  <c r="R40" i="7"/>
  <c r="R39" i="7"/>
  <c r="R38" i="7"/>
  <c r="R37" i="7"/>
  <c r="R36" i="7"/>
  <c r="R35" i="7"/>
  <c r="R34" i="7"/>
  <c r="R33" i="7"/>
  <c r="R32" i="7"/>
  <c r="R31" i="7"/>
  <c r="R30" i="7"/>
  <c r="R29" i="7"/>
  <c r="Q20" i="7"/>
  <c r="T13" i="7"/>
  <c r="R13" i="7"/>
  <c r="Q13" i="7" s="1"/>
  <c r="S56" i="7"/>
  <c r="T56" i="7" s="1"/>
  <c r="T55" i="7"/>
  <c r="Q55" i="7"/>
  <c r="R57" i="7"/>
  <c r="P57" i="7"/>
  <c r="T54" i="7"/>
  <c r="Q54" i="7"/>
  <c r="T53" i="7"/>
  <c r="Q53" i="7"/>
  <c r="T52" i="7"/>
  <c r="Q52" i="7"/>
  <c r="P51" i="7"/>
  <c r="T50" i="7"/>
  <c r="S49" i="7"/>
  <c r="P48" i="7"/>
  <c r="P49" i="7" s="1"/>
  <c r="Q49" i="7" s="1"/>
  <c r="T46" i="7"/>
  <c r="S45" i="7"/>
  <c r="T45" i="7" s="1"/>
  <c r="T44" i="7"/>
  <c r="Q44" i="7"/>
  <c r="T43" i="7"/>
  <c r="Q43" i="7"/>
  <c r="T42" i="7"/>
  <c r="Q42" i="7"/>
  <c r="T41" i="7"/>
  <c r="T40" i="7"/>
  <c r="P40" i="7"/>
  <c r="T39" i="7"/>
  <c r="P39" i="7"/>
  <c r="Q39" i="7" s="1"/>
  <c r="T38" i="7"/>
  <c r="P38" i="7"/>
  <c r="T37" i="7"/>
  <c r="P37" i="7"/>
  <c r="Q37" i="7" s="1"/>
  <c r="T36" i="7"/>
  <c r="P36" i="7"/>
  <c r="Q36" i="7" s="1"/>
  <c r="T35" i="7"/>
  <c r="P35" i="7"/>
  <c r="Q35" i="7" s="1"/>
  <c r="T34" i="7"/>
  <c r="P34" i="7"/>
  <c r="T33" i="7"/>
  <c r="P33" i="7"/>
  <c r="T32" i="7"/>
  <c r="P32" i="7"/>
  <c r="T31" i="7"/>
  <c r="P31" i="7"/>
  <c r="T30" i="7"/>
  <c r="P30" i="7"/>
  <c r="T29" i="7"/>
  <c r="P29" i="7"/>
  <c r="Q29" i="7" s="1"/>
  <c r="P24" i="7"/>
  <c r="T23" i="7"/>
  <c r="T22" i="7"/>
  <c r="Q22" i="7"/>
  <c r="T21" i="7"/>
  <c r="Q21" i="7"/>
  <c r="T20" i="7"/>
  <c r="T19" i="7"/>
  <c r="Q19" i="7"/>
  <c r="T18" i="7"/>
  <c r="T17" i="7"/>
  <c r="Q17" i="7"/>
  <c r="T16" i="7"/>
  <c r="Q16" i="7"/>
  <c r="T15" i="7"/>
  <c r="Q15" i="7"/>
  <c r="T14" i="7"/>
  <c r="Q14" i="7"/>
  <c r="T12" i="7"/>
  <c r="Q12" i="7"/>
  <c r="T11" i="7"/>
  <c r="Q11" i="7"/>
  <c r="T10" i="7"/>
  <c r="Q10" i="7"/>
  <c r="T9" i="7"/>
  <c r="Q9" i="7"/>
  <c r="T8" i="7"/>
  <c r="Q8" i="7"/>
  <c r="R51" i="7" l="1"/>
  <c r="S57" i="7"/>
  <c r="T57" i="7" s="1"/>
  <c r="Q40" i="7"/>
  <c r="Q30" i="7"/>
  <c r="Q38" i="7"/>
  <c r="R45" i="7"/>
  <c r="Q34" i="7"/>
  <c r="Q33" i="7"/>
  <c r="Q32" i="7"/>
  <c r="Q31" i="7"/>
  <c r="Q51" i="7"/>
  <c r="Q48" i="7"/>
  <c r="P45" i="7"/>
  <c r="Q23" i="7"/>
  <c r="S51" i="7"/>
  <c r="Q26" i="5"/>
  <c r="R26" i="5" s="1"/>
  <c r="M32" i="5"/>
  <c r="K29" i="5"/>
  <c r="J25" i="5"/>
  <c r="J24" i="5"/>
  <c r="J23" i="5"/>
  <c r="J22" i="5"/>
  <c r="J21" i="5"/>
  <c r="J20" i="5"/>
  <c r="J18" i="5"/>
  <c r="J13" i="5"/>
  <c r="J11" i="5"/>
  <c r="J10" i="5"/>
  <c r="M29" i="5"/>
  <c r="H23" i="5"/>
  <c r="E24" i="5"/>
  <c r="J39" i="5"/>
  <c r="F39" i="5"/>
  <c r="F34" i="5"/>
  <c r="I33" i="5"/>
  <c r="E33" i="5"/>
  <c r="G33" i="5" s="1"/>
  <c r="H33" i="5" s="1"/>
  <c r="J32" i="5"/>
  <c r="F32" i="5"/>
  <c r="E31" i="5"/>
  <c r="G31" i="5" s="1"/>
  <c r="H31" i="5" s="1"/>
  <c r="G30" i="5"/>
  <c r="H30" i="5" s="1"/>
  <c r="E30" i="5"/>
  <c r="E28" i="5"/>
  <c r="G28" i="5"/>
  <c r="H28" i="5" s="1"/>
  <c r="E27" i="5"/>
  <c r="G27" i="5"/>
  <c r="H27" i="5"/>
  <c r="E26" i="5"/>
  <c r="G26" i="5" s="1"/>
  <c r="H26" i="5" s="1"/>
  <c r="E25" i="5"/>
  <c r="G25" i="5" s="1"/>
  <c r="H25" i="5" s="1"/>
  <c r="F29" i="5"/>
  <c r="Q45" i="7" l="1"/>
  <c r="T51" i="7"/>
  <c r="J29" i="5"/>
</calcChain>
</file>

<file path=xl/sharedStrings.xml><?xml version="1.0" encoding="utf-8"?>
<sst xmlns="http://schemas.openxmlformats.org/spreadsheetml/2006/main" count="322" uniqueCount="93">
  <si>
    <t>Sujeto Obligado: Partido Verde Ecologista de Mexico</t>
  </si>
  <si>
    <t>Tipo de proceso: Ordinario</t>
  </si>
  <si>
    <t>Tipo de Comité: Ejecutivo Estatal</t>
  </si>
  <si>
    <t>Entidad: Colima</t>
  </si>
  <si>
    <t>Numero de Iventario</t>
  </si>
  <si>
    <t>Recurso con el que se adquirio</t>
  </si>
  <si>
    <t>Doc. Acredita propiedad</t>
  </si>
  <si>
    <t>Nombre del emisor</t>
  </si>
  <si>
    <t>Fecha de adquisicion</t>
  </si>
  <si>
    <t xml:space="preserve">Nombre del comité </t>
  </si>
  <si>
    <t>Numero de meses uso</t>
  </si>
  <si>
    <t>Tasa de depreciacion</t>
  </si>
  <si>
    <t>Valor Libros</t>
  </si>
  <si>
    <t>Nombre completo de resguardante</t>
  </si>
  <si>
    <t>Domicilio</t>
  </si>
  <si>
    <t>Cantidad</t>
  </si>
  <si>
    <t>Descripcion del Bien</t>
  </si>
  <si>
    <t xml:space="preserve">Año de  Adquis </t>
  </si>
  <si>
    <t>UMA Año</t>
  </si>
  <si>
    <t>Veces UMA</t>
  </si>
  <si>
    <t>Valor minimo Activo Fijo</t>
  </si>
  <si>
    <t>Valor de Adquisicion</t>
  </si>
  <si>
    <t>Dif. Aritmetica</t>
  </si>
  <si>
    <t>Activo Fijo Art. 71 RF</t>
  </si>
  <si>
    <t>Depres - Acum %</t>
  </si>
  <si>
    <t>Total  Depreciado AL 31/12/2018</t>
  </si>
  <si>
    <t>Depreciación 2018 Aplicada</t>
  </si>
  <si>
    <t xml:space="preserve">FOTOCOPIADORA  MCA  XEROX  M-  1450  CHAROLA COMPAGINADORA </t>
  </si>
  <si>
    <t>BAJA</t>
  </si>
  <si>
    <t>FOTOCOPIADORA  MCA  XEROX  MOD  1580  CHAROLAS  INF y SUP</t>
  </si>
  <si>
    <t xml:space="preserve">ESCRITORIO DE  CON CREDENZA AGLOMERADO C/  PEDESTAL METALICO    C/  3 CAJONES  </t>
  </si>
  <si>
    <t>MULTIFUNCION  MCA  XEROX - WORK - CENTRE  SERIE CRUM13041572109</t>
  </si>
  <si>
    <t>Administrador</t>
  </si>
  <si>
    <t>REG- ESTADO</t>
  </si>
  <si>
    <t xml:space="preserve">MEZCLADORA MCA MASTER SOUND  AUDIO C/ AMPLIFICADOR  INTEGRADO </t>
  </si>
  <si>
    <t xml:space="preserve">EN-- USO </t>
  </si>
  <si>
    <t>VEHICULO MARCA TOYOTA LINEA PRIUS MODELO 2018 CUATRO CILINDROS, MOTOR 1NZ8521323 SERIE JTDKDTB32J1612864</t>
  </si>
  <si>
    <t>Srio. General</t>
  </si>
  <si>
    <t>Ubicación</t>
  </si>
  <si>
    <t>Estado Fisico</t>
  </si>
  <si>
    <t>Numero de Documento</t>
  </si>
  <si>
    <t>PORTA LONAS  DE TUBULAR METALICO DE  2 X 1,50  MTS  HORIZ</t>
  </si>
  <si>
    <t>PORTA ANUNCIO  TUBULAR  METALICO VERTICAL DE  2,50 X 1,20</t>
  </si>
  <si>
    <t xml:space="preserve">ESCRITORIO   TIPO EJECUTIVO C/ 2  CAJONES  Y  MESA  CHICA </t>
  </si>
  <si>
    <t>CENTRO COMPUTO  IMITACION MADERA PORTA TECLADO, CD Y CPU</t>
  </si>
  <si>
    <t>ARCHIVEROS   MADERA  MELAMINA CAOBA   4  GAVTS  CHAPA  SEGURIDAD</t>
  </si>
  <si>
    <t xml:space="preserve">LIBRERO RUSTICO MADERA  RUSTICO  C /DIVISIONES </t>
  </si>
  <si>
    <t>VENTILADORES DE TECHO METALICOS</t>
  </si>
  <si>
    <t xml:space="preserve">MUEBLE DE SALA MADERA  DE  4  PIEZAS   CON  COJINES Y FUNDAS </t>
  </si>
  <si>
    <t xml:space="preserve">LOTE DE 6 DE SILLAS   METALICAS  ACOJINADAS  COLOR  VERDE </t>
  </si>
  <si>
    <t>VENTILADORES DE  PEDESTAL  MARCA ORVAL</t>
  </si>
  <si>
    <t>MESA  D TRABAJO  PATAS  METALICAS  ABATIBLES  CUB.  FORMAICA</t>
  </si>
  <si>
    <t xml:space="preserve">ARCHIVERO   MADERA   COLOR PERAL 4 GAVETAS  </t>
  </si>
  <si>
    <t>SILLON EJECUTIVO IMIT. PIEL COLOR NEGRO C/  CODERAS, Y RODAJAS</t>
  </si>
  <si>
    <t>MULTIFUNSION  MCA  BROTHER   MODELO MFC-8480-DN</t>
  </si>
  <si>
    <t xml:space="preserve">ARCHIVERO METALICO </t>
  </si>
  <si>
    <t>ESCRITORIO   TIPO EJECUTIVO</t>
  </si>
  <si>
    <t xml:space="preserve">PUENTE ESPECIAL </t>
  </si>
  <si>
    <t>LB558 LIBRERO COPETE</t>
  </si>
  <si>
    <t>LB570 LIBRERO DE ENTREPAÑOS</t>
  </si>
  <si>
    <t>CR3188 CREDENZA 1ARCH Y ENTREPAÑO</t>
  </si>
  <si>
    <t>SILLA MONTERREY COLOR NEGRO RESPALDO DE MALLA Y ASIENTO TAPIZADO C/ DESCANSA BRAZOS</t>
  </si>
  <si>
    <t>COMPUTADORA ARMADA PENTIUM  2-GB Memoria Ram Sist-Op. 64 BITS</t>
  </si>
  <si>
    <t>IMPRESORA H.P. MOD  DESK-JET  INYECCION SERIE-MY49E3R3FQ</t>
  </si>
  <si>
    <t>COMPUTADORA ARMADA PENTIUM 4 C/ 2.0  GB MEMORIA EN RAM</t>
  </si>
  <si>
    <t>NO</t>
  </si>
  <si>
    <t>Referencia Contable</t>
  </si>
  <si>
    <t>Bodega</t>
  </si>
  <si>
    <t>Fuera de servicio</t>
  </si>
  <si>
    <t>Contabilidad</t>
  </si>
  <si>
    <t>Recepcion</t>
  </si>
  <si>
    <t>Transparencia</t>
  </si>
  <si>
    <t>NA</t>
  </si>
  <si>
    <t>SILLAS   METALICAS  ACOJINADAS  COLOR  NEGRO (Precio unitario de $750.00 c/u)</t>
  </si>
  <si>
    <t xml:space="preserve">UNIDAD NUEVA Marca :  NISSAN  Modelo : 2020  NP300 CHASIS CABINA TM DH AC 6VEL PAQ Color : BLANCO,  Número motor : QR25341599H Tipo combustible: GASOLINA </t>
  </si>
  <si>
    <t>Total  Mobiliario de equipo y oficina Cuenta Contable 1201030000</t>
  </si>
  <si>
    <t>Total Equipo de transporte Cuenta Contable 1201040000</t>
  </si>
  <si>
    <t>Total Equipo Sonido, Audio y  Video Cuenta Contable 1201060000</t>
  </si>
  <si>
    <t>Total Equipo de  Computo Cuenta Contable 1201050000</t>
  </si>
  <si>
    <t>Por depreciar</t>
  </si>
  <si>
    <t>ESCRITORIO   TIPO EJECUTIVO, PUENTE ESPECIAL, LB558 LIBRERO COPETE, LB570 LIBRERO DE ENTREPAÑOS, CR3188 CREDENZA 1ARCH Y ENTREPAÑO, SILLA MONTERREY COLOR NEGRO RESPALDO DE MALLA Y ASIENTO TAPIZADO C/ DESCANSA BRAZOS</t>
  </si>
  <si>
    <t>Depreciacion 2019 Aplicada</t>
  </si>
  <si>
    <t xml:space="preserve">ESCRITORIO   TIPO EJECUTIVO C/ 2  CAJONES  </t>
  </si>
  <si>
    <t>FINANCIAMIENTO PUBLICO ORDINARIO</t>
  </si>
  <si>
    <t>COMITÉ EJECUTIVO ESTATAL</t>
  </si>
  <si>
    <t>Depreciación mensual</t>
  </si>
  <si>
    <t>MacBook 13 color gris, Memoria unificada de 16GB, Almacenamiento SSD de 512GB, Magic Keyboard retroiluminado - en Inges (EEUU) Modelo : A2338 Rated: 20.3V 3A Max Serie: C02F41YRQ05N</t>
  </si>
  <si>
    <t>Secretaria de Finanzas</t>
  </si>
  <si>
    <t>En uso</t>
  </si>
  <si>
    <t>--</t>
  </si>
  <si>
    <t xml:space="preserve">Vehículo Nissan Kicks E-Power 2023, 5 puertas, Número de motor: HR12484517C, no. chasis: MNTFP5CPXP6003838 </t>
  </si>
  <si>
    <t>Depreciación 2024</t>
  </si>
  <si>
    <t>Total  Depreciado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</si>
</sst>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.00_-;\-&quot;$&quot;* #,##0.00_-;_-&quot;$&quot;* &quot;-&quot;?_-;_-@_-"/>
    <numFmt numFmtId="167" formatCode="0.0%"/>
    <numFmt numFmtId="168" formatCode="\$#,##0.00;[Red]\-\$#,##0.00"/>
    <numFmt numFmtId="169" formatCode="0.000%"/>
  </numFmts>
  <fonts count="18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Arial Narrow"/>
      <family val="2"/>
    </font>
    <font>
      <sz val="18"/>
      <color rgb="FF000000"/>
      <name val="Calibri Light"/>
      <family val="2"/>
    </font>
    <font>
      <b/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8"/>
      <color rgb="FF000000"/>
      <name val="Arial Narrow"/>
      <family val="2"/>
    </font>
    <font>
      <b/>
      <sz val="14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/>
    </xf>
    <xf numFmtId="165" fontId="8" fillId="0" borderId="0" xfId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9" fontId="14" fillId="0" borderId="1" xfId="3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1" applyFont="1" applyBorder="1" applyAlignment="1">
      <alignment horizontal="center" vertical="center"/>
    </xf>
    <xf numFmtId="166" fontId="0" fillId="0" borderId="1" xfId="0" applyNumberFormat="1" applyBorder="1" applyAlignment="1">
      <alignment horizontal="left" vertical="center"/>
    </xf>
    <xf numFmtId="166" fontId="0" fillId="0" borderId="1" xfId="0" applyNumberFormat="1" applyBorder="1" applyAlignment="1">
      <alignment horizontal="center" vertical="center"/>
    </xf>
    <xf numFmtId="9" fontId="8" fillId="0" borderId="1" xfId="3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165" fontId="8" fillId="0" borderId="1" xfId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5" fontId="8" fillId="0" borderId="1" xfId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7" fontId="8" fillId="0" borderId="1" xfId="3" applyNumberForma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8" fillId="0" borderId="1" xfId="1" applyNumberFormat="1" applyBorder="1" applyAlignment="1">
      <alignment horizontal="center" vertical="center"/>
    </xf>
    <xf numFmtId="168" fontId="5" fillId="0" borderId="0" xfId="0" applyNumberFormat="1" applyFont="1"/>
    <xf numFmtId="166" fontId="0" fillId="0" borderId="0" xfId="0" applyNumberForma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9" fontId="14" fillId="0" borderId="3" xfId="3" applyFont="1" applyBorder="1" applyAlignment="1">
      <alignment horizontal="center" vertical="center"/>
    </xf>
    <xf numFmtId="166" fontId="0" fillId="0" borderId="3" xfId="0" applyNumberFormat="1" applyBorder="1" applyAlignment="1">
      <alignment vertical="center"/>
    </xf>
    <xf numFmtId="14" fontId="1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166" fontId="0" fillId="0" borderId="3" xfId="0" applyNumberFormat="1" applyBorder="1" applyAlignment="1">
      <alignment horizontal="center" vertical="center"/>
    </xf>
    <xf numFmtId="9" fontId="8" fillId="0" borderId="3" xfId="3" applyBorder="1" applyAlignment="1">
      <alignment horizontal="center" vertical="center"/>
    </xf>
    <xf numFmtId="165" fontId="8" fillId="0" borderId="3" xfId="1" applyFont="1" applyBorder="1" applyAlignment="1">
      <alignment vertical="center"/>
    </xf>
    <xf numFmtId="165" fontId="8" fillId="0" borderId="3" xfId="1" applyBorder="1" applyAlignment="1">
      <alignment vertical="center"/>
    </xf>
    <xf numFmtId="0" fontId="8" fillId="0" borderId="3" xfId="1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5" fontId="0" fillId="0" borderId="0" xfId="0" applyNumberFormat="1" applyAlignment="1">
      <alignment vertical="center"/>
    </xf>
    <xf numFmtId="0" fontId="2" fillId="0" borderId="2" xfId="0" applyFont="1" applyBorder="1" applyAlignment="1">
      <alignment vertical="center" wrapText="1"/>
    </xf>
    <xf numFmtId="165" fontId="8" fillId="0" borderId="1" xfId="1" applyFont="1" applyBorder="1" applyAlignment="1">
      <alignment vertical="center"/>
    </xf>
    <xf numFmtId="9" fontId="8" fillId="0" borderId="5" xfId="3" applyBorder="1" applyAlignment="1">
      <alignment horizontal="center" vertical="center"/>
    </xf>
    <xf numFmtId="165" fontId="8" fillId="0" borderId="2" xfId="1" applyFont="1" applyBorder="1" applyAlignment="1">
      <alignment vertical="center"/>
    </xf>
    <xf numFmtId="166" fontId="15" fillId="0" borderId="1" xfId="0" applyNumberFormat="1" applyFont="1" applyBorder="1" applyAlignment="1">
      <alignment horizontal="left" vertical="center"/>
    </xf>
    <xf numFmtId="166" fontId="15" fillId="0" borderId="1" xfId="0" applyNumberFormat="1" applyFont="1" applyBorder="1" applyAlignment="1">
      <alignment horizontal="center" vertical="center"/>
    </xf>
    <xf numFmtId="9" fontId="15" fillId="0" borderId="1" xfId="3" applyFont="1" applyBorder="1" applyAlignment="1">
      <alignment horizontal="center" vertical="center"/>
    </xf>
    <xf numFmtId="165" fontId="15" fillId="0" borderId="1" xfId="1" applyFont="1" applyBorder="1" applyAlignment="1">
      <alignment vertical="center"/>
    </xf>
    <xf numFmtId="0" fontId="15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65" fontId="15" fillId="0" borderId="1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66" fontId="15" fillId="0" borderId="1" xfId="0" applyNumberFormat="1" applyFont="1" applyBorder="1" applyAlignment="1">
      <alignment vertical="center"/>
    </xf>
    <xf numFmtId="167" fontId="15" fillId="0" borderId="1" xfId="3" applyNumberFormat="1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165" fontId="15" fillId="0" borderId="1" xfId="0" applyNumberFormat="1" applyFont="1" applyBorder="1" applyAlignment="1">
      <alignment vertical="center"/>
    </xf>
    <xf numFmtId="165" fontId="8" fillId="0" borderId="3" xfId="1" applyBorder="1" applyAlignment="1">
      <alignment horizontal="center" vertical="center"/>
    </xf>
    <xf numFmtId="165" fontId="8" fillId="0" borderId="0" xfId="1" applyFont="1" applyAlignment="1">
      <alignment vertical="center"/>
    </xf>
    <xf numFmtId="9" fontId="14" fillId="0" borderId="1" xfId="3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8" fillId="2" borderId="3" xfId="1" applyFill="1" applyBorder="1" applyAlignment="1">
      <alignment vertical="center"/>
    </xf>
    <xf numFmtId="165" fontId="15" fillId="2" borderId="1" xfId="1" applyFont="1" applyFill="1" applyBorder="1" applyAlignment="1">
      <alignment vertical="center"/>
    </xf>
    <xf numFmtId="165" fontId="8" fillId="2" borderId="1" xfId="1" applyFill="1" applyBorder="1" applyAlignment="1">
      <alignment horizontal="center" vertical="center"/>
    </xf>
    <xf numFmtId="165" fontId="8" fillId="2" borderId="1" xfId="1" applyFont="1" applyFill="1" applyBorder="1" applyAlignment="1">
      <alignment vertical="center"/>
    </xf>
    <xf numFmtId="165" fontId="8" fillId="2" borderId="1" xfId="1" applyFont="1" applyFill="1" applyBorder="1" applyAlignment="1">
      <alignment horizontal="center" vertical="center"/>
    </xf>
    <xf numFmtId="165" fontId="15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9" fontId="8" fillId="0" borderId="1" xfId="3" applyNumberFormat="1" applyFont="1" applyBorder="1" applyAlignment="1">
      <alignment horizontal="center" vertical="center"/>
    </xf>
    <xf numFmtId="165" fontId="8" fillId="0" borderId="0" xfId="1" applyFont="1" applyFill="1" applyAlignment="1">
      <alignment vertical="center"/>
    </xf>
    <xf numFmtId="165" fontId="12" fillId="0" borderId="1" xfId="1" applyFont="1" applyFill="1" applyBorder="1" applyAlignment="1">
      <alignment horizontal="center" vertical="center" wrapText="1"/>
    </xf>
    <xf numFmtId="165" fontId="8" fillId="0" borderId="1" xfId="1" applyFont="1" applyFill="1" applyBorder="1" applyAlignment="1">
      <alignment horizontal="center" vertical="center"/>
    </xf>
    <xf numFmtId="165" fontId="8" fillId="0" borderId="3" xfId="1" applyFill="1" applyBorder="1" applyAlignment="1">
      <alignment vertical="center"/>
    </xf>
    <xf numFmtId="165" fontId="15" fillId="0" borderId="1" xfId="1" applyFont="1" applyFill="1" applyBorder="1" applyAlignment="1">
      <alignment vertical="center"/>
    </xf>
    <xf numFmtId="165" fontId="8" fillId="0" borderId="1" xfId="1" applyFill="1" applyBorder="1" applyAlignment="1">
      <alignment horizontal="center" vertical="center"/>
    </xf>
    <xf numFmtId="165" fontId="9" fillId="0" borderId="1" xfId="1" applyFont="1" applyFill="1" applyBorder="1" applyAlignment="1">
      <alignment vertical="center"/>
    </xf>
    <xf numFmtId="165" fontId="15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15" fillId="0" borderId="1" xfId="2" applyFont="1" applyBorder="1" applyAlignment="1">
      <alignment vertical="center"/>
    </xf>
    <xf numFmtId="164" fontId="9" fillId="0" borderId="1" xfId="2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1" quotePrefix="1" applyNumberFormat="1" applyFont="1" applyBorder="1" applyAlignment="1">
      <alignment horizontal="center" vertical="center"/>
    </xf>
    <xf numFmtId="165" fontId="9" fillId="0" borderId="1" xfId="1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9" fontId="8" fillId="0" borderId="6" xfId="3" applyBorder="1" applyAlignment="1">
      <alignment horizontal="center" vertical="center"/>
    </xf>
    <xf numFmtId="9" fontId="8" fillId="0" borderId="8" xfId="3" applyBorder="1" applyAlignment="1">
      <alignment horizontal="center" vertical="center"/>
    </xf>
    <xf numFmtId="9" fontId="8" fillId="0" borderId="3" xfId="3" applyBorder="1" applyAlignment="1">
      <alignment horizontal="center" vertical="center"/>
    </xf>
    <xf numFmtId="165" fontId="8" fillId="0" borderId="6" xfId="1" applyBorder="1" applyAlignment="1">
      <alignment horizontal="center" vertical="center"/>
    </xf>
    <xf numFmtId="165" fontId="8" fillId="0" borderId="8" xfId="1" applyBorder="1" applyAlignment="1">
      <alignment horizontal="center" vertical="center"/>
    </xf>
    <xf numFmtId="165" fontId="8" fillId="0" borderId="3" xfId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0</xdr:row>
      <xdr:rowOff>93569</xdr:rowOff>
    </xdr:from>
    <xdr:to>
      <xdr:col>16</xdr:col>
      <xdr:colOff>718297</xdr:colOff>
      <xdr:row>5</xdr:row>
      <xdr:rowOff>198344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EF0B845-542E-C542-9B1C-4423905DA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569"/>
          <a:ext cx="5652247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3</xdr:col>
      <xdr:colOff>838200</xdr:colOff>
      <xdr:row>3</xdr:row>
      <xdr:rowOff>123825</xdr:rowOff>
    </xdr:to>
    <xdr:pic>
      <xdr:nvPicPr>
        <xdr:cNvPr id="6178" name="1 Imagen">
          <a:extLst>
            <a:ext uri="{FF2B5EF4-FFF2-40B4-BE49-F238E27FC236}">
              <a16:creationId xmlns:a16="http://schemas.microsoft.com/office/drawing/2014/main" id="{2A84DF81-DE85-4F1C-8AFA-6EC04C623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50958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2ADA3-E4DF-CA46-8B21-10A48CAD39BD}">
  <sheetPr>
    <pageSetUpPr fitToPage="1"/>
  </sheetPr>
  <dimension ref="A1:Y61"/>
  <sheetViews>
    <sheetView tabSelected="1" view="pageBreakPreview" topLeftCell="N48" zoomScaleNormal="100" zoomScaleSheetLayoutView="100" workbookViewId="0">
      <selection activeCell="R8" sqref="R8"/>
    </sheetView>
  </sheetViews>
  <sheetFormatPr baseColWidth="10" defaultColWidth="11.42578125" defaultRowHeight="15" x14ac:dyDescent="0.25"/>
  <cols>
    <col min="1" max="1" width="14.85546875" style="29" hidden="1" customWidth="1"/>
    <col min="2" max="2" width="36.28515625" style="29" hidden="1" customWidth="1"/>
    <col min="3" max="4" width="14.28515625" style="30" hidden="1" customWidth="1"/>
    <col min="5" max="5" width="40.85546875" style="29" hidden="1" customWidth="1"/>
    <col min="6" max="6" width="12.85546875" style="29" hidden="1" customWidth="1"/>
    <col min="7" max="7" width="27.85546875" style="29" hidden="1" customWidth="1"/>
    <col min="8" max="8" width="11.85546875" style="30" hidden="1" customWidth="1"/>
    <col min="9" max="9" width="15" style="29" hidden="1" customWidth="1"/>
    <col min="10" max="10" width="16.85546875" style="29" hidden="1" customWidth="1"/>
    <col min="11" max="11" width="24.140625" style="30" hidden="1" customWidth="1"/>
    <col min="12" max="12" width="26.42578125" style="30" hidden="1" customWidth="1"/>
    <col min="13" max="13" width="0" style="1" hidden="1" customWidth="1"/>
    <col min="14" max="14" width="38.42578125" style="5" customWidth="1"/>
    <col min="15" max="15" width="13" style="4" customWidth="1"/>
    <col min="16" max="16" width="14.42578125" style="4" customWidth="1"/>
    <col min="17" max="17" width="11.28515625" style="1" customWidth="1"/>
    <col min="18" max="18" width="16.28515625" style="4" customWidth="1"/>
    <col min="19" max="20" width="13.85546875" style="4" customWidth="1"/>
    <col min="21" max="21" width="17.28515625" style="1" customWidth="1"/>
    <col min="22" max="22" width="19.42578125" style="1" bestFit="1" customWidth="1"/>
    <col min="23" max="23" width="23.7109375" style="1" customWidth="1"/>
    <col min="24" max="16384" width="11.42578125" style="4"/>
  </cols>
  <sheetData>
    <row r="1" spans="1:25" ht="15" customHeight="1" x14ac:dyDescent="0.25">
      <c r="A1" s="1"/>
      <c r="B1" s="1"/>
      <c r="C1" s="2"/>
      <c r="D1" s="2"/>
      <c r="F1" s="1"/>
      <c r="G1" s="1"/>
      <c r="H1" s="2"/>
      <c r="I1" s="1"/>
      <c r="J1" s="1"/>
      <c r="K1" s="2"/>
      <c r="L1" s="2"/>
      <c r="M1" s="4"/>
      <c r="Q1" s="4"/>
      <c r="R1" s="7"/>
    </row>
    <row r="2" spans="1:25" ht="15" customHeight="1" x14ac:dyDescent="0.25">
      <c r="A2" s="1"/>
      <c r="B2" s="1"/>
      <c r="C2" s="2"/>
      <c r="D2" s="2"/>
      <c r="F2" s="1"/>
      <c r="G2" s="1"/>
      <c r="H2" s="2"/>
      <c r="I2" s="1"/>
      <c r="J2" s="1"/>
      <c r="K2" s="2"/>
      <c r="L2" s="2"/>
      <c r="M2" s="4"/>
      <c r="Q2" s="4"/>
      <c r="R2" s="7"/>
      <c r="S2" s="104" t="s">
        <v>0</v>
      </c>
      <c r="T2" s="3"/>
    </row>
    <row r="3" spans="1:25" ht="15" customHeight="1" x14ac:dyDescent="0.25">
      <c r="A3" s="1"/>
      <c r="B3" s="1"/>
      <c r="C3" s="2"/>
      <c r="D3" s="2"/>
      <c r="F3" s="1"/>
      <c r="G3" s="1"/>
      <c r="H3" s="2"/>
      <c r="I3" s="1"/>
      <c r="J3" s="1"/>
      <c r="K3" s="2"/>
      <c r="L3" s="2"/>
      <c r="M3" s="4"/>
      <c r="Q3" s="4"/>
      <c r="R3" s="7"/>
      <c r="S3" s="104" t="s">
        <v>1</v>
      </c>
      <c r="T3" s="3"/>
    </row>
    <row r="4" spans="1:25" ht="15" customHeight="1" x14ac:dyDescent="0.25">
      <c r="A4" s="1"/>
      <c r="B4" s="1"/>
      <c r="C4" s="2"/>
      <c r="D4" s="2"/>
      <c r="F4" s="1"/>
      <c r="G4" s="1"/>
      <c r="H4" s="2"/>
      <c r="I4" s="1"/>
      <c r="J4" s="1"/>
      <c r="K4" s="2"/>
      <c r="L4" s="2"/>
      <c r="M4" s="4"/>
      <c r="Q4" s="4"/>
      <c r="R4" s="7"/>
      <c r="S4" s="104" t="s">
        <v>2</v>
      </c>
      <c r="T4" s="3"/>
    </row>
    <row r="5" spans="1:25" ht="15" customHeight="1" x14ac:dyDescent="0.25">
      <c r="A5" s="1"/>
      <c r="B5" s="1"/>
      <c r="C5" s="2"/>
      <c r="D5" s="2"/>
      <c r="E5" s="3"/>
      <c r="F5" s="1"/>
      <c r="G5" s="1"/>
      <c r="H5" s="2"/>
      <c r="I5" s="1"/>
      <c r="J5" s="1"/>
      <c r="K5" s="2"/>
      <c r="L5" s="2"/>
      <c r="M5" s="4"/>
      <c r="N5" s="99"/>
      <c r="O5" s="99"/>
      <c r="Q5" s="99"/>
      <c r="R5" s="99"/>
      <c r="S5" s="104" t="s">
        <v>3</v>
      </c>
      <c r="T5" s="3"/>
      <c r="U5" s="99"/>
      <c r="V5" s="99"/>
      <c r="W5" s="99"/>
    </row>
    <row r="6" spans="1:25" ht="23.25" x14ac:dyDescent="0.25">
      <c r="A6" s="1"/>
      <c r="B6" s="1"/>
      <c r="C6" s="2"/>
      <c r="D6" s="2"/>
      <c r="E6" s="1"/>
      <c r="F6" s="1"/>
      <c r="G6" s="1"/>
      <c r="H6" s="2"/>
      <c r="I6" s="1"/>
      <c r="J6" s="1"/>
      <c r="K6" s="2"/>
      <c r="L6" s="2"/>
      <c r="M6" s="4"/>
      <c r="N6" s="100"/>
      <c r="O6" s="100"/>
      <c r="P6" s="100"/>
      <c r="Q6" s="100"/>
      <c r="R6" s="100"/>
      <c r="S6" s="100"/>
      <c r="T6" s="100"/>
      <c r="U6" s="100"/>
      <c r="V6" s="100"/>
      <c r="W6" s="100"/>
    </row>
    <row r="7" spans="1:25" s="2" customFormat="1" ht="49.5" x14ac:dyDescent="0.25">
      <c r="A7" s="8" t="s">
        <v>4</v>
      </c>
      <c r="B7" s="8" t="s">
        <v>5</v>
      </c>
      <c r="C7" s="8" t="s">
        <v>6</v>
      </c>
      <c r="D7" s="8" t="s">
        <v>40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8" t="s">
        <v>14</v>
      </c>
      <c r="M7" s="8" t="s">
        <v>15</v>
      </c>
      <c r="N7" s="105" t="s">
        <v>16</v>
      </c>
      <c r="O7" s="106" t="s">
        <v>17</v>
      </c>
      <c r="P7" s="106" t="s">
        <v>21</v>
      </c>
      <c r="Q7" s="105" t="s">
        <v>24</v>
      </c>
      <c r="R7" s="106" t="s">
        <v>92</v>
      </c>
      <c r="S7" s="106" t="s">
        <v>91</v>
      </c>
      <c r="T7" s="106" t="s">
        <v>85</v>
      </c>
      <c r="U7" s="106" t="s">
        <v>66</v>
      </c>
      <c r="V7" s="106" t="s">
        <v>38</v>
      </c>
      <c r="W7" s="105" t="s">
        <v>39</v>
      </c>
    </row>
    <row r="8" spans="1:25" ht="48.75" customHeight="1" x14ac:dyDescent="0.25">
      <c r="A8" s="36" t="s">
        <v>72</v>
      </c>
      <c r="B8" s="37" t="s">
        <v>83</v>
      </c>
      <c r="C8" s="38" t="s">
        <v>72</v>
      </c>
      <c r="D8" s="38" t="s">
        <v>72</v>
      </c>
      <c r="E8" s="37" t="s">
        <v>72</v>
      </c>
      <c r="F8" s="15">
        <v>2007</v>
      </c>
      <c r="G8" s="37" t="s">
        <v>84</v>
      </c>
      <c r="H8" s="38" t="s">
        <v>72</v>
      </c>
      <c r="I8" s="39" t="s">
        <v>72</v>
      </c>
      <c r="J8" s="40" t="s">
        <v>72</v>
      </c>
      <c r="K8" s="38" t="s">
        <v>72</v>
      </c>
      <c r="L8" s="41" t="s">
        <v>72</v>
      </c>
      <c r="M8" s="42">
        <v>1</v>
      </c>
      <c r="N8" s="96" t="s">
        <v>41</v>
      </c>
      <c r="O8" s="15">
        <v>2007</v>
      </c>
      <c r="P8" s="20">
        <v>5000</v>
      </c>
      <c r="Q8" s="19">
        <f>+R8/P8</f>
        <v>1</v>
      </c>
      <c r="R8" s="54">
        <v>5000</v>
      </c>
      <c r="S8" s="21">
        <v>0</v>
      </c>
      <c r="T8" s="21">
        <f>+S8/12</f>
        <v>0</v>
      </c>
      <c r="U8" s="33">
        <v>1201030000</v>
      </c>
      <c r="V8" s="14" t="s">
        <v>67</v>
      </c>
      <c r="W8" s="14" t="s">
        <v>68</v>
      </c>
      <c r="Y8" s="52"/>
    </row>
    <row r="9" spans="1:25" ht="60" customHeight="1" x14ac:dyDescent="0.25">
      <c r="A9" s="36" t="s">
        <v>72</v>
      </c>
      <c r="B9" s="37" t="s">
        <v>83</v>
      </c>
      <c r="C9" s="38" t="s">
        <v>72</v>
      </c>
      <c r="D9" s="38" t="s">
        <v>72</v>
      </c>
      <c r="E9" s="37" t="s">
        <v>72</v>
      </c>
      <c r="F9" s="15">
        <v>2007</v>
      </c>
      <c r="G9" s="37" t="s">
        <v>84</v>
      </c>
      <c r="H9" s="38" t="s">
        <v>72</v>
      </c>
      <c r="I9" s="39" t="s">
        <v>72</v>
      </c>
      <c r="J9" s="40" t="s">
        <v>72</v>
      </c>
      <c r="K9" s="38" t="s">
        <v>72</v>
      </c>
      <c r="L9" s="41" t="s">
        <v>72</v>
      </c>
      <c r="M9" s="42">
        <v>1</v>
      </c>
      <c r="N9" s="96" t="s">
        <v>42</v>
      </c>
      <c r="O9" s="15">
        <v>2007</v>
      </c>
      <c r="P9" s="20">
        <v>3000</v>
      </c>
      <c r="Q9" s="19">
        <f t="shared" ref="Q9:Q54" si="0">+R9/P9</f>
        <v>1</v>
      </c>
      <c r="R9" s="54">
        <v>3000</v>
      </c>
      <c r="S9" s="21">
        <v>0</v>
      </c>
      <c r="T9" s="21">
        <f t="shared" ref="T9:T57" si="1">+S9/12</f>
        <v>0</v>
      </c>
      <c r="U9" s="33">
        <v>1201030000</v>
      </c>
      <c r="V9" s="14" t="s">
        <v>67</v>
      </c>
      <c r="W9" s="14" t="s">
        <v>68</v>
      </c>
      <c r="Y9" s="52"/>
    </row>
    <row r="10" spans="1:25" ht="50.1" customHeight="1" x14ac:dyDescent="0.25">
      <c r="A10" s="10"/>
      <c r="B10" s="11"/>
      <c r="C10" s="12"/>
      <c r="D10" s="12"/>
      <c r="E10" s="12"/>
      <c r="F10" s="15">
        <v>2010</v>
      </c>
      <c r="G10" s="12"/>
      <c r="H10" s="12"/>
      <c r="I10" s="13"/>
      <c r="J10" s="17"/>
      <c r="K10" s="12"/>
      <c r="L10" s="12"/>
      <c r="M10" s="14"/>
      <c r="N10" s="96" t="s">
        <v>82</v>
      </c>
      <c r="O10" s="15">
        <v>2010</v>
      </c>
      <c r="P10" s="20">
        <v>4400</v>
      </c>
      <c r="Q10" s="19">
        <f t="shared" si="0"/>
        <v>1</v>
      </c>
      <c r="R10" s="54">
        <v>4400</v>
      </c>
      <c r="S10" s="21">
        <v>0</v>
      </c>
      <c r="T10" s="21">
        <f t="shared" si="1"/>
        <v>0</v>
      </c>
      <c r="U10" s="33">
        <v>1201030000</v>
      </c>
      <c r="V10" s="14" t="s">
        <v>69</v>
      </c>
      <c r="W10" s="22" t="s">
        <v>35</v>
      </c>
      <c r="Y10" s="52"/>
    </row>
    <row r="11" spans="1:25" ht="50.1" customHeight="1" x14ac:dyDescent="0.25">
      <c r="A11" s="10"/>
      <c r="B11" s="11"/>
      <c r="C11" s="12"/>
      <c r="D11" s="12"/>
      <c r="E11" s="12"/>
      <c r="F11" s="15">
        <v>2010</v>
      </c>
      <c r="G11" s="11"/>
      <c r="H11" s="12"/>
      <c r="I11" s="13"/>
      <c r="J11" s="17"/>
      <c r="K11" s="12"/>
      <c r="L11" s="25"/>
      <c r="M11" s="14"/>
      <c r="N11" s="96" t="s">
        <v>44</v>
      </c>
      <c r="O11" s="15">
        <v>2010</v>
      </c>
      <c r="P11" s="20">
        <v>3500</v>
      </c>
      <c r="Q11" s="19">
        <f t="shared" si="0"/>
        <v>1</v>
      </c>
      <c r="R11" s="54">
        <v>3500</v>
      </c>
      <c r="S11" s="21">
        <v>0</v>
      </c>
      <c r="T11" s="21">
        <f t="shared" si="1"/>
        <v>0</v>
      </c>
      <c r="U11" s="33">
        <v>1201030000</v>
      </c>
      <c r="V11" s="14" t="s">
        <v>67</v>
      </c>
      <c r="W11" s="14" t="s">
        <v>68</v>
      </c>
      <c r="Y11" s="52"/>
    </row>
    <row r="12" spans="1:25" ht="50.1" customHeight="1" x14ac:dyDescent="0.25">
      <c r="A12" s="10"/>
      <c r="B12" s="11"/>
      <c r="C12" s="12"/>
      <c r="D12" s="12"/>
      <c r="E12" s="11"/>
      <c r="F12" s="15">
        <v>2010</v>
      </c>
      <c r="G12" s="11"/>
      <c r="H12" s="12"/>
      <c r="I12" s="28"/>
      <c r="J12" s="20"/>
      <c r="K12" s="12"/>
      <c r="L12" s="25"/>
      <c r="M12" s="14"/>
      <c r="N12" s="96" t="s">
        <v>45</v>
      </c>
      <c r="O12" s="15">
        <v>2010</v>
      </c>
      <c r="P12" s="20">
        <v>6500</v>
      </c>
      <c r="Q12" s="19">
        <f t="shared" si="0"/>
        <v>1</v>
      </c>
      <c r="R12" s="54">
        <v>6500</v>
      </c>
      <c r="S12" s="21">
        <v>0</v>
      </c>
      <c r="T12" s="21">
        <f t="shared" si="1"/>
        <v>0</v>
      </c>
      <c r="U12" s="33">
        <v>1201030000</v>
      </c>
      <c r="V12" s="14" t="s">
        <v>69</v>
      </c>
      <c r="W12" s="14" t="s">
        <v>35</v>
      </c>
      <c r="Y12" s="52"/>
    </row>
    <row r="13" spans="1:25" ht="50.1" customHeight="1" x14ac:dyDescent="0.25">
      <c r="A13" s="10"/>
      <c r="B13" s="11"/>
      <c r="C13" s="12"/>
      <c r="D13" s="50"/>
      <c r="E13" s="14"/>
      <c r="F13" s="15">
        <v>2011</v>
      </c>
      <c r="G13" s="11"/>
      <c r="H13" s="50"/>
      <c r="I13" s="75"/>
      <c r="J13" s="20"/>
      <c r="K13" s="12"/>
      <c r="L13" s="25"/>
      <c r="M13" s="14"/>
      <c r="N13" s="96" t="s">
        <v>46</v>
      </c>
      <c r="O13" s="15">
        <v>2011</v>
      </c>
      <c r="P13" s="20">
        <v>2500</v>
      </c>
      <c r="Q13" s="19">
        <f t="shared" si="0"/>
        <v>1</v>
      </c>
      <c r="R13" s="54">
        <f>2250+250</f>
        <v>2500</v>
      </c>
      <c r="S13" s="21">
        <v>0</v>
      </c>
      <c r="T13" s="21">
        <f t="shared" ref="T13" si="2">+S13/12</f>
        <v>0</v>
      </c>
      <c r="U13" s="33">
        <v>1201030000</v>
      </c>
      <c r="V13" s="14" t="s">
        <v>69</v>
      </c>
      <c r="W13" s="14" t="s">
        <v>35</v>
      </c>
      <c r="Y13" s="52"/>
    </row>
    <row r="14" spans="1:25" ht="50.1" customHeight="1" x14ac:dyDescent="0.25">
      <c r="A14" s="10"/>
      <c r="B14" s="11"/>
      <c r="C14" s="12"/>
      <c r="D14" s="12"/>
      <c r="E14" s="11"/>
      <c r="F14" s="15">
        <v>2011</v>
      </c>
      <c r="G14" s="11"/>
      <c r="H14" s="12"/>
      <c r="I14" s="13"/>
      <c r="J14" s="20"/>
      <c r="K14" s="12"/>
      <c r="L14" s="25"/>
      <c r="M14" s="14"/>
      <c r="N14" s="96" t="s">
        <v>47</v>
      </c>
      <c r="O14" s="15">
        <v>2011</v>
      </c>
      <c r="P14" s="20">
        <v>2500</v>
      </c>
      <c r="Q14" s="19">
        <f t="shared" si="0"/>
        <v>1</v>
      </c>
      <c r="R14" s="54">
        <v>2500</v>
      </c>
      <c r="S14" s="21">
        <v>0</v>
      </c>
      <c r="T14" s="21">
        <f t="shared" si="1"/>
        <v>0</v>
      </c>
      <c r="U14" s="33">
        <v>1201030000</v>
      </c>
      <c r="V14" s="14" t="s">
        <v>67</v>
      </c>
      <c r="W14" s="14" t="s">
        <v>68</v>
      </c>
      <c r="Y14" s="52"/>
    </row>
    <row r="15" spans="1:25" ht="50.1" customHeight="1" x14ac:dyDescent="0.25">
      <c r="F15" s="15">
        <v>2012</v>
      </c>
      <c r="N15" s="96" t="s">
        <v>48</v>
      </c>
      <c r="O15" s="15">
        <v>2012</v>
      </c>
      <c r="P15" s="17">
        <v>8500</v>
      </c>
      <c r="Q15" s="19">
        <f t="shared" si="0"/>
        <v>1</v>
      </c>
      <c r="R15" s="54">
        <v>8500</v>
      </c>
      <c r="S15" s="21">
        <v>0</v>
      </c>
      <c r="T15" s="21">
        <f t="shared" si="1"/>
        <v>0</v>
      </c>
      <c r="U15" s="33">
        <v>1201030000</v>
      </c>
      <c r="V15" s="14" t="s">
        <v>67</v>
      </c>
      <c r="W15" s="14" t="s">
        <v>68</v>
      </c>
      <c r="Y15" s="52"/>
    </row>
    <row r="16" spans="1:25" ht="50.1" customHeight="1" x14ac:dyDescent="0.25">
      <c r="F16" s="15">
        <v>2012</v>
      </c>
      <c r="N16" s="96" t="s">
        <v>49</v>
      </c>
      <c r="O16" s="15">
        <v>2012</v>
      </c>
      <c r="P16" s="17">
        <v>4800</v>
      </c>
      <c r="Q16" s="19">
        <f t="shared" si="0"/>
        <v>1</v>
      </c>
      <c r="R16" s="54">
        <v>4800</v>
      </c>
      <c r="S16" s="21">
        <v>0</v>
      </c>
      <c r="T16" s="21">
        <f t="shared" si="1"/>
        <v>0</v>
      </c>
      <c r="U16" s="33">
        <v>1201030000</v>
      </c>
      <c r="V16" s="14" t="s">
        <v>67</v>
      </c>
      <c r="W16" s="14" t="s">
        <v>68</v>
      </c>
      <c r="Y16" s="52"/>
    </row>
    <row r="17" spans="6:25" ht="50.1" customHeight="1" x14ac:dyDescent="0.25">
      <c r="F17" s="15">
        <v>2012</v>
      </c>
      <c r="N17" s="96" t="s">
        <v>50</v>
      </c>
      <c r="O17" s="15">
        <v>2012</v>
      </c>
      <c r="P17" s="20">
        <v>2740</v>
      </c>
      <c r="Q17" s="19">
        <f t="shared" si="0"/>
        <v>1</v>
      </c>
      <c r="R17" s="54">
        <v>2740</v>
      </c>
      <c r="S17" s="21">
        <v>0</v>
      </c>
      <c r="T17" s="21">
        <f t="shared" si="1"/>
        <v>0</v>
      </c>
      <c r="U17" s="33">
        <v>1201030000</v>
      </c>
      <c r="V17" s="14" t="s">
        <v>70</v>
      </c>
      <c r="W17" s="14" t="s">
        <v>35</v>
      </c>
      <c r="Y17" s="52"/>
    </row>
    <row r="18" spans="6:25" ht="50.1" customHeight="1" x14ac:dyDescent="0.25">
      <c r="F18" s="14">
        <v>2012</v>
      </c>
      <c r="N18" s="97" t="s">
        <v>51</v>
      </c>
      <c r="O18" s="14">
        <v>2012</v>
      </c>
      <c r="P18" s="20">
        <v>3000</v>
      </c>
      <c r="Q18" s="19">
        <f t="shared" si="0"/>
        <v>1</v>
      </c>
      <c r="R18" s="54">
        <f>2400+300+300</f>
        <v>3000</v>
      </c>
      <c r="S18" s="21">
        <v>0</v>
      </c>
      <c r="T18" s="21">
        <f t="shared" si="1"/>
        <v>0</v>
      </c>
      <c r="U18" s="33">
        <v>1201030000</v>
      </c>
      <c r="V18" s="14" t="s">
        <v>70</v>
      </c>
      <c r="W18" s="14" t="s">
        <v>35</v>
      </c>
      <c r="Y18" s="52"/>
    </row>
    <row r="19" spans="6:25" ht="50.1" customHeight="1" x14ac:dyDescent="0.25">
      <c r="F19" s="15">
        <v>2013</v>
      </c>
      <c r="N19" s="96" t="s">
        <v>52</v>
      </c>
      <c r="O19" s="15">
        <v>2013</v>
      </c>
      <c r="P19" s="17">
        <v>3500</v>
      </c>
      <c r="Q19" s="19">
        <f t="shared" si="0"/>
        <v>1</v>
      </c>
      <c r="R19" s="54">
        <v>3500</v>
      </c>
      <c r="S19" s="21">
        <v>0</v>
      </c>
      <c r="T19" s="21">
        <f t="shared" si="1"/>
        <v>0</v>
      </c>
      <c r="U19" s="33">
        <v>1201030000</v>
      </c>
      <c r="V19" s="14" t="s">
        <v>32</v>
      </c>
      <c r="W19" s="14" t="s">
        <v>35</v>
      </c>
      <c r="Y19" s="52"/>
    </row>
    <row r="20" spans="6:25" ht="50.1" customHeight="1" x14ac:dyDescent="0.25">
      <c r="F20" s="14">
        <v>2013</v>
      </c>
      <c r="N20" s="97" t="s">
        <v>53</v>
      </c>
      <c r="O20" s="14">
        <v>2013</v>
      </c>
      <c r="P20" s="20">
        <v>3900</v>
      </c>
      <c r="Q20" s="19">
        <f t="shared" si="0"/>
        <v>1</v>
      </c>
      <c r="R20" s="54">
        <f>3120+390+390</f>
        <v>3900</v>
      </c>
      <c r="S20" s="21">
        <v>0</v>
      </c>
      <c r="T20" s="21">
        <f t="shared" si="1"/>
        <v>0</v>
      </c>
      <c r="U20" s="33">
        <v>1201030000</v>
      </c>
      <c r="V20" s="14" t="s">
        <v>69</v>
      </c>
      <c r="W20" s="14" t="s">
        <v>33</v>
      </c>
      <c r="Y20" s="52"/>
    </row>
    <row r="21" spans="6:25" ht="50.1" customHeight="1" x14ac:dyDescent="0.25">
      <c r="F21" s="14">
        <v>2014</v>
      </c>
      <c r="N21" s="97" t="s">
        <v>54</v>
      </c>
      <c r="O21" s="14">
        <v>2014</v>
      </c>
      <c r="P21" s="20">
        <v>6500</v>
      </c>
      <c r="Q21" s="19">
        <f t="shared" si="0"/>
        <v>1</v>
      </c>
      <c r="R21" s="54">
        <v>6500</v>
      </c>
      <c r="S21" s="21">
        <v>0</v>
      </c>
      <c r="T21" s="21">
        <f t="shared" si="1"/>
        <v>0</v>
      </c>
      <c r="U21" s="33">
        <v>1201030000</v>
      </c>
      <c r="V21" s="14" t="s">
        <v>69</v>
      </c>
      <c r="W21" s="14" t="s">
        <v>33</v>
      </c>
      <c r="Y21" s="52"/>
    </row>
    <row r="22" spans="6:25" ht="50.1" customHeight="1" x14ac:dyDescent="0.25">
      <c r="F22" s="14">
        <v>2015</v>
      </c>
      <c r="N22" s="97" t="s">
        <v>55</v>
      </c>
      <c r="O22" s="14">
        <v>2015</v>
      </c>
      <c r="P22" s="20">
        <v>4257</v>
      </c>
      <c r="Q22" s="19">
        <f t="shared" si="0"/>
        <v>0.79999999999999982</v>
      </c>
      <c r="R22" s="54">
        <f>2128.5+425.7+425.7+425.7</f>
        <v>3405.5999999999995</v>
      </c>
      <c r="S22" s="21">
        <v>425.70000000000005</v>
      </c>
      <c r="T22" s="21">
        <f t="shared" si="1"/>
        <v>35.475000000000001</v>
      </c>
      <c r="U22" s="33">
        <v>1201030000</v>
      </c>
      <c r="V22" s="14"/>
      <c r="W22" s="14" t="s">
        <v>68</v>
      </c>
      <c r="Y22" s="52"/>
    </row>
    <row r="23" spans="6:25" ht="50.1" customHeight="1" x14ac:dyDescent="0.25">
      <c r="F23" s="14">
        <v>2017</v>
      </c>
      <c r="N23" s="96" t="s">
        <v>56</v>
      </c>
      <c r="O23" s="14">
        <v>2017</v>
      </c>
      <c r="P23" s="20">
        <v>2757.8999999999996</v>
      </c>
      <c r="Q23" s="112">
        <f>R23/SUM(P23:P28)</f>
        <v>0.70665532541951426</v>
      </c>
      <c r="R23" s="115">
        <f>3904.17+1889.29+1889.29+1889.29+1889.29+1889.29</f>
        <v>13350.620000000003</v>
      </c>
      <c r="S23" s="115">
        <v>1889.29</v>
      </c>
      <c r="T23" s="115">
        <f t="shared" si="1"/>
        <v>157.44083333333333</v>
      </c>
      <c r="U23" s="33">
        <v>1201030000</v>
      </c>
      <c r="V23" s="14" t="s">
        <v>37</v>
      </c>
      <c r="W23" s="14" t="s">
        <v>35</v>
      </c>
      <c r="Y23" s="52"/>
    </row>
    <row r="24" spans="6:25" ht="50.1" customHeight="1" x14ac:dyDescent="0.25">
      <c r="F24" s="14">
        <v>2017</v>
      </c>
      <c r="N24" s="96" t="s">
        <v>57</v>
      </c>
      <c r="O24" s="14">
        <v>2017</v>
      </c>
      <c r="P24" s="20">
        <f>840.42-0.23</f>
        <v>840.18999999999994</v>
      </c>
      <c r="Q24" s="113"/>
      <c r="R24" s="116"/>
      <c r="S24" s="116"/>
      <c r="T24" s="116"/>
      <c r="U24" s="33">
        <v>1201030000</v>
      </c>
      <c r="V24" s="14" t="s">
        <v>37</v>
      </c>
      <c r="W24" s="14" t="s">
        <v>35</v>
      </c>
      <c r="Y24" s="52"/>
    </row>
    <row r="25" spans="6:25" ht="50.1" customHeight="1" x14ac:dyDescent="0.25">
      <c r="F25" s="14">
        <v>2017</v>
      </c>
      <c r="N25" s="96" t="s">
        <v>58</v>
      </c>
      <c r="O25" s="14">
        <v>2017</v>
      </c>
      <c r="P25" s="20">
        <v>2837.0699999999997</v>
      </c>
      <c r="Q25" s="113"/>
      <c r="R25" s="116"/>
      <c r="S25" s="116"/>
      <c r="T25" s="116"/>
      <c r="U25" s="33">
        <v>1201030000</v>
      </c>
      <c r="V25" s="14" t="s">
        <v>37</v>
      </c>
      <c r="W25" s="14" t="s">
        <v>35</v>
      </c>
      <c r="Y25" s="52"/>
    </row>
    <row r="26" spans="6:25" ht="50.1" customHeight="1" x14ac:dyDescent="0.25">
      <c r="F26" s="14">
        <v>2017</v>
      </c>
      <c r="N26" s="96" t="s">
        <v>59</v>
      </c>
      <c r="O26" s="14">
        <v>2017</v>
      </c>
      <c r="P26" s="20">
        <v>5536.6799999999994</v>
      </c>
      <c r="Q26" s="113"/>
      <c r="R26" s="116"/>
      <c r="S26" s="116"/>
      <c r="T26" s="116"/>
      <c r="U26" s="33">
        <v>1201030000</v>
      </c>
      <c r="V26" s="14" t="s">
        <v>37</v>
      </c>
      <c r="W26" s="14" t="s">
        <v>35</v>
      </c>
      <c r="Y26" s="52"/>
    </row>
    <row r="27" spans="6:25" ht="50.1" customHeight="1" x14ac:dyDescent="0.25">
      <c r="F27" s="14">
        <v>2017</v>
      </c>
      <c r="N27" s="96" t="s">
        <v>60</v>
      </c>
      <c r="O27" s="14">
        <v>2017</v>
      </c>
      <c r="P27" s="20">
        <v>4745.8499999999995</v>
      </c>
      <c r="Q27" s="113"/>
      <c r="R27" s="116"/>
      <c r="S27" s="116"/>
      <c r="T27" s="116"/>
      <c r="U27" s="33">
        <v>1201030000</v>
      </c>
      <c r="V27" s="14" t="s">
        <v>37</v>
      </c>
      <c r="W27" s="14" t="s">
        <v>35</v>
      </c>
      <c r="Y27" s="52"/>
    </row>
    <row r="28" spans="6:25" ht="50.1" customHeight="1" x14ac:dyDescent="0.25">
      <c r="F28" s="14">
        <v>2017</v>
      </c>
      <c r="N28" s="96" t="s">
        <v>61</v>
      </c>
      <c r="O28" s="14">
        <v>2017</v>
      </c>
      <c r="P28" s="20">
        <v>2175</v>
      </c>
      <c r="Q28" s="114"/>
      <c r="R28" s="117"/>
      <c r="S28" s="117"/>
      <c r="T28" s="117"/>
      <c r="U28" s="33">
        <v>1201030000</v>
      </c>
      <c r="V28" s="14" t="s">
        <v>37</v>
      </c>
      <c r="W28" s="14" t="s">
        <v>35</v>
      </c>
      <c r="Y28" s="52"/>
    </row>
    <row r="29" spans="6:25" ht="50.1" customHeight="1" x14ac:dyDescent="0.25">
      <c r="F29" s="14">
        <v>2011</v>
      </c>
      <c r="N29" s="96" t="s">
        <v>73</v>
      </c>
      <c r="O29" s="14">
        <v>2011</v>
      </c>
      <c r="P29" s="20">
        <f>750</f>
        <v>750</v>
      </c>
      <c r="Q29" s="19">
        <f t="shared" si="0"/>
        <v>1</v>
      </c>
      <c r="R29" s="54">
        <f t="shared" ref="R29:R40" si="3">675+75</f>
        <v>750</v>
      </c>
      <c r="S29" s="21">
        <v>0</v>
      </c>
      <c r="T29" s="21">
        <f t="shared" si="1"/>
        <v>0</v>
      </c>
      <c r="U29" s="33">
        <v>1201030000</v>
      </c>
      <c r="V29" s="14" t="s">
        <v>67</v>
      </c>
      <c r="W29" s="14" t="s">
        <v>68</v>
      </c>
      <c r="Y29" s="52"/>
    </row>
    <row r="30" spans="6:25" ht="50.1" customHeight="1" x14ac:dyDescent="0.25">
      <c r="F30" s="14">
        <v>2011</v>
      </c>
      <c r="N30" s="96" t="s">
        <v>73</v>
      </c>
      <c r="O30" s="14">
        <v>2011</v>
      </c>
      <c r="P30" s="20">
        <f>750</f>
        <v>750</v>
      </c>
      <c r="Q30" s="19">
        <f t="shared" si="0"/>
        <v>1</v>
      </c>
      <c r="R30" s="54">
        <f t="shared" si="3"/>
        <v>750</v>
      </c>
      <c r="S30" s="21">
        <v>0</v>
      </c>
      <c r="T30" s="21">
        <f t="shared" si="1"/>
        <v>0</v>
      </c>
      <c r="U30" s="33">
        <v>1201030000</v>
      </c>
      <c r="V30" s="14" t="s">
        <v>67</v>
      </c>
      <c r="W30" s="14" t="s">
        <v>68</v>
      </c>
      <c r="Y30" s="52"/>
    </row>
    <row r="31" spans="6:25" ht="50.1" customHeight="1" x14ac:dyDescent="0.25">
      <c r="F31" s="14">
        <v>2011</v>
      </c>
      <c r="N31" s="96" t="s">
        <v>73</v>
      </c>
      <c r="O31" s="14">
        <v>2011</v>
      </c>
      <c r="P31" s="20">
        <f>750</f>
        <v>750</v>
      </c>
      <c r="Q31" s="19">
        <f t="shared" si="0"/>
        <v>1</v>
      </c>
      <c r="R31" s="54">
        <f t="shared" si="3"/>
        <v>750</v>
      </c>
      <c r="S31" s="21">
        <v>0</v>
      </c>
      <c r="T31" s="21">
        <f t="shared" si="1"/>
        <v>0</v>
      </c>
      <c r="U31" s="33">
        <v>1201030000</v>
      </c>
      <c r="V31" s="14" t="s">
        <v>67</v>
      </c>
      <c r="W31" s="14" t="s">
        <v>68</v>
      </c>
      <c r="Y31" s="52"/>
    </row>
    <row r="32" spans="6:25" ht="50.1" customHeight="1" x14ac:dyDescent="0.25">
      <c r="F32" s="14">
        <v>2011</v>
      </c>
      <c r="N32" s="96" t="s">
        <v>73</v>
      </c>
      <c r="O32" s="14">
        <v>2011</v>
      </c>
      <c r="P32" s="20">
        <f>750</f>
        <v>750</v>
      </c>
      <c r="Q32" s="19">
        <f t="shared" si="0"/>
        <v>1</v>
      </c>
      <c r="R32" s="54">
        <f t="shared" si="3"/>
        <v>750</v>
      </c>
      <c r="S32" s="21">
        <v>0</v>
      </c>
      <c r="T32" s="21">
        <f t="shared" si="1"/>
        <v>0</v>
      </c>
      <c r="U32" s="33">
        <v>1201030000</v>
      </c>
      <c r="V32" s="14" t="s">
        <v>67</v>
      </c>
      <c r="W32" s="14" t="s">
        <v>68</v>
      </c>
      <c r="Y32" s="52"/>
    </row>
    <row r="33" spans="1:25" ht="50.1" customHeight="1" x14ac:dyDescent="0.25">
      <c r="F33" s="14">
        <v>2011</v>
      </c>
      <c r="N33" s="96" t="s">
        <v>73</v>
      </c>
      <c r="O33" s="14">
        <v>2011</v>
      </c>
      <c r="P33" s="20">
        <f>750</f>
        <v>750</v>
      </c>
      <c r="Q33" s="19">
        <f t="shared" si="0"/>
        <v>1</v>
      </c>
      <c r="R33" s="54">
        <f t="shared" si="3"/>
        <v>750</v>
      </c>
      <c r="S33" s="21">
        <v>0</v>
      </c>
      <c r="T33" s="21">
        <f t="shared" si="1"/>
        <v>0</v>
      </c>
      <c r="U33" s="33">
        <v>1201030000</v>
      </c>
      <c r="V33" s="14" t="s">
        <v>67</v>
      </c>
      <c r="W33" s="14" t="s">
        <v>68</v>
      </c>
      <c r="Y33" s="52"/>
    </row>
    <row r="34" spans="1:25" ht="50.1" customHeight="1" x14ac:dyDescent="0.25">
      <c r="F34" s="14">
        <v>2011</v>
      </c>
      <c r="N34" s="96" t="s">
        <v>73</v>
      </c>
      <c r="O34" s="14">
        <v>2011</v>
      </c>
      <c r="P34" s="20">
        <f>750</f>
        <v>750</v>
      </c>
      <c r="Q34" s="19">
        <f t="shared" si="0"/>
        <v>1</v>
      </c>
      <c r="R34" s="54">
        <f t="shared" si="3"/>
        <v>750</v>
      </c>
      <c r="S34" s="21">
        <v>0</v>
      </c>
      <c r="T34" s="21">
        <f t="shared" si="1"/>
        <v>0</v>
      </c>
      <c r="U34" s="33">
        <v>1201030000</v>
      </c>
      <c r="V34" s="14" t="s">
        <v>67</v>
      </c>
      <c r="W34" s="14" t="s">
        <v>68</v>
      </c>
      <c r="Y34" s="52"/>
    </row>
    <row r="35" spans="1:25" ht="50.1" customHeight="1" x14ac:dyDescent="0.25">
      <c r="F35" s="14">
        <v>2011</v>
      </c>
      <c r="N35" s="96" t="s">
        <v>73</v>
      </c>
      <c r="O35" s="14">
        <v>2011</v>
      </c>
      <c r="P35" s="20">
        <f>750</f>
        <v>750</v>
      </c>
      <c r="Q35" s="19">
        <f t="shared" si="0"/>
        <v>1</v>
      </c>
      <c r="R35" s="54">
        <f t="shared" si="3"/>
        <v>750</v>
      </c>
      <c r="S35" s="21">
        <v>0</v>
      </c>
      <c r="T35" s="21">
        <f t="shared" si="1"/>
        <v>0</v>
      </c>
      <c r="U35" s="33">
        <v>1201030000</v>
      </c>
      <c r="V35" s="14" t="s">
        <v>67</v>
      </c>
      <c r="W35" s="14" t="s">
        <v>68</v>
      </c>
      <c r="Y35" s="52"/>
    </row>
    <row r="36" spans="1:25" ht="50.1" customHeight="1" x14ac:dyDescent="0.25">
      <c r="F36" s="14">
        <v>2011</v>
      </c>
      <c r="N36" s="96" t="s">
        <v>73</v>
      </c>
      <c r="O36" s="14">
        <v>2011</v>
      </c>
      <c r="P36" s="20">
        <f>750</f>
        <v>750</v>
      </c>
      <c r="Q36" s="19">
        <f t="shared" si="0"/>
        <v>1</v>
      </c>
      <c r="R36" s="54">
        <f t="shared" si="3"/>
        <v>750</v>
      </c>
      <c r="S36" s="21">
        <v>0</v>
      </c>
      <c r="T36" s="21">
        <f t="shared" si="1"/>
        <v>0</v>
      </c>
      <c r="U36" s="33">
        <v>1201030000</v>
      </c>
      <c r="V36" s="14" t="s">
        <v>67</v>
      </c>
      <c r="W36" s="14" t="s">
        <v>68</v>
      </c>
      <c r="Y36" s="52"/>
    </row>
    <row r="37" spans="1:25" ht="50.1" customHeight="1" x14ac:dyDescent="0.25">
      <c r="F37" s="14">
        <v>2011</v>
      </c>
      <c r="N37" s="96" t="s">
        <v>73</v>
      </c>
      <c r="O37" s="14">
        <v>2011</v>
      </c>
      <c r="P37" s="20">
        <f>750</f>
        <v>750</v>
      </c>
      <c r="Q37" s="19">
        <f t="shared" si="0"/>
        <v>1</v>
      </c>
      <c r="R37" s="54">
        <f t="shared" si="3"/>
        <v>750</v>
      </c>
      <c r="S37" s="21">
        <v>0</v>
      </c>
      <c r="T37" s="21">
        <f t="shared" si="1"/>
        <v>0</v>
      </c>
      <c r="U37" s="33">
        <v>1201030000</v>
      </c>
      <c r="V37" s="14" t="s">
        <v>67</v>
      </c>
      <c r="W37" s="14" t="s">
        <v>68</v>
      </c>
      <c r="Y37" s="52"/>
    </row>
    <row r="38" spans="1:25" ht="50.1" customHeight="1" x14ac:dyDescent="0.25">
      <c r="F38" s="14">
        <v>2011</v>
      </c>
      <c r="N38" s="96" t="s">
        <v>73</v>
      </c>
      <c r="O38" s="14">
        <v>2011</v>
      </c>
      <c r="P38" s="20">
        <f>750</f>
        <v>750</v>
      </c>
      <c r="Q38" s="19">
        <f t="shared" si="0"/>
        <v>1</v>
      </c>
      <c r="R38" s="54">
        <f t="shared" si="3"/>
        <v>750</v>
      </c>
      <c r="S38" s="21">
        <v>0</v>
      </c>
      <c r="T38" s="21">
        <f t="shared" si="1"/>
        <v>0</v>
      </c>
      <c r="U38" s="33">
        <v>1201030000</v>
      </c>
      <c r="V38" s="14" t="s">
        <v>67</v>
      </c>
      <c r="W38" s="14" t="s">
        <v>68</v>
      </c>
      <c r="Y38" s="52"/>
    </row>
    <row r="39" spans="1:25" ht="50.1" customHeight="1" x14ac:dyDescent="0.25">
      <c r="F39" s="14">
        <v>2011</v>
      </c>
      <c r="N39" s="96" t="s">
        <v>73</v>
      </c>
      <c r="O39" s="14">
        <v>2011</v>
      </c>
      <c r="P39" s="20">
        <f>750</f>
        <v>750</v>
      </c>
      <c r="Q39" s="19">
        <f t="shared" si="0"/>
        <v>1</v>
      </c>
      <c r="R39" s="54">
        <f t="shared" si="3"/>
        <v>750</v>
      </c>
      <c r="S39" s="21">
        <v>0</v>
      </c>
      <c r="T39" s="21">
        <f t="shared" si="1"/>
        <v>0</v>
      </c>
      <c r="U39" s="33">
        <v>1201030000</v>
      </c>
      <c r="V39" s="14" t="s">
        <v>67</v>
      </c>
      <c r="W39" s="14" t="s">
        <v>68</v>
      </c>
      <c r="Y39" s="52"/>
    </row>
    <row r="40" spans="1:25" ht="50.1" customHeight="1" x14ac:dyDescent="0.25">
      <c r="F40" s="14">
        <v>2011</v>
      </c>
      <c r="N40" s="96" t="s">
        <v>73</v>
      </c>
      <c r="O40" s="14">
        <v>2011</v>
      </c>
      <c r="P40" s="20">
        <f>750</f>
        <v>750</v>
      </c>
      <c r="Q40" s="19">
        <f t="shared" si="0"/>
        <v>1</v>
      </c>
      <c r="R40" s="54">
        <f t="shared" si="3"/>
        <v>750</v>
      </c>
      <c r="S40" s="21">
        <v>0</v>
      </c>
      <c r="T40" s="21">
        <f t="shared" si="1"/>
        <v>0</v>
      </c>
      <c r="U40" s="33">
        <v>1201030000</v>
      </c>
      <c r="V40" s="14" t="s">
        <v>67</v>
      </c>
      <c r="W40" s="14" t="s">
        <v>68</v>
      </c>
      <c r="Y40" s="52"/>
    </row>
    <row r="41" spans="1:25" ht="50.1" customHeight="1" x14ac:dyDescent="0.25">
      <c r="F41" s="14">
        <v>2015</v>
      </c>
      <c r="N41" s="97" t="s">
        <v>31</v>
      </c>
      <c r="O41" s="14">
        <v>2015</v>
      </c>
      <c r="P41" s="40">
        <v>13016.4</v>
      </c>
      <c r="Q41" s="19">
        <f t="shared" si="0"/>
        <v>0.84166666666666667</v>
      </c>
      <c r="R41" s="46">
        <f>7050.55+1301.64+1301.64+1301.64</f>
        <v>10955.47</v>
      </c>
      <c r="S41" s="47">
        <v>1301.6400000000001</v>
      </c>
      <c r="T41" s="21">
        <f t="shared" si="1"/>
        <v>108.47000000000001</v>
      </c>
      <c r="U41" s="48">
        <v>1201030000</v>
      </c>
      <c r="V41" s="42" t="s">
        <v>32</v>
      </c>
      <c r="W41" s="49" t="s">
        <v>33</v>
      </c>
      <c r="X41" s="52"/>
      <c r="Y41" s="52"/>
    </row>
    <row r="42" spans="1:25" ht="50.1" customHeight="1" x14ac:dyDescent="0.25">
      <c r="F42" s="15">
        <v>2007</v>
      </c>
      <c r="N42" s="98" t="s">
        <v>27</v>
      </c>
      <c r="O42" s="15">
        <v>2007</v>
      </c>
      <c r="P42" s="17">
        <v>25000</v>
      </c>
      <c r="Q42" s="19">
        <f t="shared" si="0"/>
        <v>1</v>
      </c>
      <c r="R42" s="54">
        <v>25000</v>
      </c>
      <c r="S42" s="21">
        <v>0</v>
      </c>
      <c r="T42" s="21">
        <f t="shared" si="1"/>
        <v>0</v>
      </c>
      <c r="U42" s="33">
        <v>1201030000</v>
      </c>
      <c r="V42" s="14"/>
      <c r="W42" s="22" t="s">
        <v>28</v>
      </c>
      <c r="X42" s="52"/>
      <c r="Y42" s="52"/>
    </row>
    <row r="43" spans="1:25" ht="50.1" customHeight="1" x14ac:dyDescent="0.25">
      <c r="F43" s="14">
        <v>2009</v>
      </c>
      <c r="N43" s="96" t="s">
        <v>29</v>
      </c>
      <c r="O43" s="14">
        <v>2009</v>
      </c>
      <c r="P43" s="17">
        <v>15000</v>
      </c>
      <c r="Q43" s="19">
        <f t="shared" si="0"/>
        <v>1</v>
      </c>
      <c r="R43" s="54">
        <v>15000</v>
      </c>
      <c r="S43" s="21">
        <v>0</v>
      </c>
      <c r="T43" s="21">
        <f t="shared" si="1"/>
        <v>0</v>
      </c>
      <c r="U43" s="33">
        <v>1201030000</v>
      </c>
      <c r="V43" s="14"/>
      <c r="W43" s="22" t="s">
        <v>28</v>
      </c>
      <c r="Y43" s="52"/>
    </row>
    <row r="44" spans="1:25" ht="50.1" customHeight="1" x14ac:dyDescent="0.25">
      <c r="F44" s="15">
        <v>2009</v>
      </c>
      <c r="N44" s="96" t="s">
        <v>30</v>
      </c>
      <c r="O44" s="15">
        <v>2009</v>
      </c>
      <c r="P44" s="17">
        <v>18500</v>
      </c>
      <c r="Q44" s="19">
        <f t="shared" si="0"/>
        <v>1</v>
      </c>
      <c r="R44" s="54">
        <v>18500</v>
      </c>
      <c r="S44" s="21">
        <v>0</v>
      </c>
      <c r="T44" s="21">
        <f t="shared" si="1"/>
        <v>0</v>
      </c>
      <c r="U44" s="33">
        <v>1201030000</v>
      </c>
      <c r="V44" s="14" t="s">
        <v>32</v>
      </c>
      <c r="W44" s="22" t="s">
        <v>33</v>
      </c>
      <c r="Y44" s="52"/>
    </row>
    <row r="45" spans="1:25" s="64" customFormat="1" ht="50.1" customHeight="1" x14ac:dyDescent="0.25">
      <c r="A45" s="29"/>
      <c r="B45" s="29"/>
      <c r="C45" s="30"/>
      <c r="D45" s="30"/>
      <c r="E45" s="29"/>
      <c r="F45" s="29"/>
      <c r="G45" s="29"/>
      <c r="H45" s="30"/>
      <c r="I45" s="29"/>
      <c r="J45" s="29"/>
      <c r="K45" s="30"/>
      <c r="L45" s="30"/>
      <c r="M45" s="1"/>
      <c r="N45" s="110"/>
      <c r="O45" s="110"/>
      <c r="P45" s="57">
        <f>SUM(P8:P44)</f>
        <v>164006.09</v>
      </c>
      <c r="Q45" s="19">
        <f t="shared" si="0"/>
        <v>0.94845069472725074</v>
      </c>
      <c r="R45" s="102">
        <f>SUM(R8:R44)</f>
        <v>155551.69</v>
      </c>
      <c r="S45" s="102">
        <f>SUM(S8:S44)</f>
        <v>3616.63</v>
      </c>
      <c r="T45" s="103">
        <f t="shared" si="1"/>
        <v>301.38583333333332</v>
      </c>
      <c r="U45" s="61"/>
      <c r="V45" s="62"/>
      <c r="W45" s="63"/>
      <c r="Y45" s="52"/>
    </row>
    <row r="46" spans="1:25" ht="50.1" customHeight="1" x14ac:dyDescent="0.25">
      <c r="F46" s="14">
        <v>2018</v>
      </c>
      <c r="N46" s="97" t="s">
        <v>36</v>
      </c>
      <c r="O46" s="14">
        <v>2018</v>
      </c>
      <c r="P46" s="21">
        <v>295000</v>
      </c>
      <c r="Q46" s="19">
        <f t="shared" si="0"/>
        <v>1</v>
      </c>
      <c r="R46" s="74">
        <f>147500+73750+73750</f>
        <v>295000</v>
      </c>
      <c r="S46" s="21">
        <v>0</v>
      </c>
      <c r="T46" s="21">
        <f t="shared" si="1"/>
        <v>0</v>
      </c>
      <c r="U46" s="33">
        <v>1201040000</v>
      </c>
      <c r="V46" s="14" t="s">
        <v>37</v>
      </c>
      <c r="W46" s="22" t="s">
        <v>35</v>
      </c>
      <c r="Y46" s="52"/>
    </row>
    <row r="47" spans="1:25" ht="50.1" customHeight="1" x14ac:dyDescent="0.25">
      <c r="F47" s="14"/>
      <c r="N47" s="97" t="s">
        <v>90</v>
      </c>
      <c r="O47" s="14">
        <v>2023</v>
      </c>
      <c r="P47" s="21">
        <v>572900</v>
      </c>
      <c r="Q47" s="19">
        <f t="shared" si="0"/>
        <v>2.0833333333333332E-2</v>
      </c>
      <c r="R47" s="74">
        <f>572900/48</f>
        <v>11935.416666666666</v>
      </c>
      <c r="S47" s="74">
        <f>(572900/48)*12</f>
        <v>143225</v>
      </c>
      <c r="T47" s="74">
        <f>572900/48</f>
        <v>11935.416666666666</v>
      </c>
      <c r="U47" s="33">
        <v>1201040000</v>
      </c>
      <c r="V47" s="14" t="s">
        <v>37</v>
      </c>
      <c r="W47" s="22" t="s">
        <v>35</v>
      </c>
      <c r="Y47" s="52"/>
    </row>
    <row r="48" spans="1:25" ht="75" x14ac:dyDescent="0.25">
      <c r="F48" s="14">
        <v>2019</v>
      </c>
      <c r="N48" s="97" t="s">
        <v>74</v>
      </c>
      <c r="O48" s="14">
        <v>2019</v>
      </c>
      <c r="P48" s="20">
        <f>280300+33000</f>
        <v>313300</v>
      </c>
      <c r="Q48" s="19">
        <f t="shared" si="0"/>
        <v>0.99780561761889563</v>
      </c>
      <c r="R48" s="54">
        <f>84164.58+78325+78325+78325-6527.08</f>
        <v>312612.5</v>
      </c>
      <c r="S48" s="54">
        <f>+P48-R48</f>
        <v>687.5</v>
      </c>
      <c r="T48" s="21">
        <v>687.5</v>
      </c>
      <c r="U48" s="33">
        <v>1201040000</v>
      </c>
      <c r="V48" s="14" t="s">
        <v>37</v>
      </c>
      <c r="W48" s="22" t="s">
        <v>35</v>
      </c>
      <c r="Y48" s="52"/>
    </row>
    <row r="49" spans="1:25" s="64" customFormat="1" ht="50.1" customHeight="1" x14ac:dyDescent="0.25">
      <c r="A49" s="29"/>
      <c r="B49" s="29"/>
      <c r="C49" s="30"/>
      <c r="D49" s="30"/>
      <c r="E49" s="29"/>
      <c r="F49" s="29"/>
      <c r="G49" s="29"/>
      <c r="H49" s="30"/>
      <c r="I49" s="29"/>
      <c r="J49" s="29"/>
      <c r="K49" s="30"/>
      <c r="L49" s="30"/>
      <c r="M49" s="1"/>
      <c r="N49" s="110"/>
      <c r="O49" s="110"/>
      <c r="P49" s="65">
        <f>SUM(P46:P48)</f>
        <v>1181200</v>
      </c>
      <c r="Q49" s="19">
        <f t="shared" si="0"/>
        <v>6.7380274297324752E-2</v>
      </c>
      <c r="R49" s="102">
        <v>79589.58</v>
      </c>
      <c r="S49" s="102">
        <f>SUM(S46:S48)</f>
        <v>143912.5</v>
      </c>
      <c r="T49" s="103">
        <f>+(S48/12)+T47</f>
        <v>11992.708333333332</v>
      </c>
      <c r="U49" s="61"/>
      <c r="V49" s="62"/>
      <c r="W49" s="63"/>
      <c r="Y49" s="52"/>
    </row>
    <row r="50" spans="1:25" ht="50.1" customHeight="1" x14ac:dyDescent="0.25">
      <c r="F50" s="15">
        <v>2014</v>
      </c>
      <c r="N50" s="96" t="s">
        <v>34</v>
      </c>
      <c r="O50" s="15">
        <v>2014</v>
      </c>
      <c r="P50" s="20">
        <v>15148.45</v>
      </c>
      <c r="Q50" s="19">
        <f t="shared" si="0"/>
        <v>0.96000158432050786</v>
      </c>
      <c r="R50" s="54">
        <f>9089.076+1817.82+1817.82+1817.82</f>
        <v>14542.535999999998</v>
      </c>
      <c r="S50" s="54">
        <v>1817.82</v>
      </c>
      <c r="T50" s="21">
        <f t="shared" si="1"/>
        <v>151.48499999999999</v>
      </c>
      <c r="U50" s="33">
        <v>1201060000</v>
      </c>
      <c r="V50" s="14" t="s">
        <v>32</v>
      </c>
      <c r="W50" s="22" t="s">
        <v>35</v>
      </c>
      <c r="Y50" s="52"/>
    </row>
    <row r="51" spans="1:25" s="64" customFormat="1" ht="50.1" customHeight="1" x14ac:dyDescent="0.25">
      <c r="A51" s="29"/>
      <c r="B51" s="29"/>
      <c r="C51" s="30"/>
      <c r="D51" s="30"/>
      <c r="E51" s="29"/>
      <c r="F51" s="29"/>
      <c r="G51" s="29"/>
      <c r="H51" s="30"/>
      <c r="I51" s="29"/>
      <c r="J51" s="29"/>
      <c r="K51" s="30"/>
      <c r="L51" s="30"/>
      <c r="M51" s="1"/>
      <c r="N51" s="110"/>
      <c r="O51" s="110"/>
      <c r="P51" s="68">
        <f>+P50</f>
        <v>15148.45</v>
      </c>
      <c r="Q51" s="19">
        <f t="shared" si="0"/>
        <v>0.96000158432050786</v>
      </c>
      <c r="R51" s="60">
        <f>+R50</f>
        <v>14542.535999999998</v>
      </c>
      <c r="S51" s="60">
        <f>+S50</f>
        <v>1817.82</v>
      </c>
      <c r="T51" s="109">
        <f t="shared" si="1"/>
        <v>151.48499999999999</v>
      </c>
      <c r="U51" s="61"/>
      <c r="V51" s="62"/>
      <c r="W51" s="63"/>
      <c r="Y51" s="52"/>
    </row>
    <row r="52" spans="1:25" ht="50.1" customHeight="1" x14ac:dyDescent="0.25">
      <c r="F52" s="15">
        <v>2010</v>
      </c>
      <c r="N52" s="96" t="s">
        <v>62</v>
      </c>
      <c r="O52" s="15">
        <v>2010</v>
      </c>
      <c r="P52" s="20">
        <v>7500</v>
      </c>
      <c r="Q52" s="19">
        <f t="shared" si="0"/>
        <v>1</v>
      </c>
      <c r="R52" s="54">
        <v>7500</v>
      </c>
      <c r="S52" s="56">
        <v>0</v>
      </c>
      <c r="T52" s="21">
        <f t="shared" si="1"/>
        <v>0</v>
      </c>
      <c r="U52" s="33">
        <v>1201050000</v>
      </c>
      <c r="V52" s="14" t="s">
        <v>69</v>
      </c>
      <c r="W52" s="14" t="s">
        <v>33</v>
      </c>
      <c r="Y52" s="52"/>
    </row>
    <row r="53" spans="1:25" ht="50.1" customHeight="1" x14ac:dyDescent="0.25">
      <c r="F53" s="15">
        <v>2010</v>
      </c>
      <c r="N53" s="96" t="s">
        <v>63</v>
      </c>
      <c r="O53" s="15">
        <v>2010</v>
      </c>
      <c r="P53" s="20">
        <v>2750</v>
      </c>
      <c r="Q53" s="19">
        <f t="shared" si="0"/>
        <v>1</v>
      </c>
      <c r="R53" s="54">
        <v>2750</v>
      </c>
      <c r="S53" s="56">
        <v>0</v>
      </c>
      <c r="T53" s="21">
        <f t="shared" si="1"/>
        <v>0</v>
      </c>
      <c r="U53" s="33">
        <v>1201050000</v>
      </c>
      <c r="V53" s="14" t="s">
        <v>69</v>
      </c>
      <c r="W53" s="14" t="s">
        <v>33</v>
      </c>
      <c r="Y53" s="52"/>
    </row>
    <row r="54" spans="1:25" ht="50.1" customHeight="1" x14ac:dyDescent="0.25">
      <c r="F54" s="15">
        <v>2011</v>
      </c>
      <c r="N54" s="96" t="s">
        <v>64</v>
      </c>
      <c r="O54" s="15">
        <v>2011</v>
      </c>
      <c r="P54" s="20">
        <v>8500</v>
      </c>
      <c r="Q54" s="19">
        <f t="shared" si="0"/>
        <v>1</v>
      </c>
      <c r="R54" s="54">
        <v>8500</v>
      </c>
      <c r="S54" s="56">
        <v>0</v>
      </c>
      <c r="T54" s="21">
        <f t="shared" si="1"/>
        <v>0</v>
      </c>
      <c r="U54" s="33">
        <v>1201050000</v>
      </c>
      <c r="V54" s="14" t="s">
        <v>71</v>
      </c>
      <c r="W54" s="14" t="s">
        <v>33</v>
      </c>
      <c r="Y54" s="52"/>
    </row>
    <row r="55" spans="1:25" ht="50.1" customHeight="1" x14ac:dyDescent="0.25">
      <c r="F55" s="15">
        <v>2011</v>
      </c>
      <c r="N55" s="96" t="s">
        <v>62</v>
      </c>
      <c r="O55" s="15">
        <v>2011</v>
      </c>
      <c r="P55" s="20">
        <v>8500</v>
      </c>
      <c r="Q55" s="19">
        <f t="shared" ref="Q55" si="4">+R55/P55</f>
        <v>1</v>
      </c>
      <c r="R55" s="54">
        <v>8500</v>
      </c>
      <c r="S55" s="56">
        <v>0</v>
      </c>
      <c r="T55" s="21">
        <f t="shared" ref="T55" si="5">+S55/12</f>
        <v>0</v>
      </c>
      <c r="U55" s="33">
        <v>1201050000</v>
      </c>
      <c r="V55" s="14" t="s">
        <v>32</v>
      </c>
      <c r="W55" s="14" t="s">
        <v>33</v>
      </c>
      <c r="Y55" s="52"/>
    </row>
    <row r="56" spans="1:25" ht="50.1" customHeight="1" x14ac:dyDescent="0.25">
      <c r="F56" s="15">
        <v>2011</v>
      </c>
      <c r="N56" s="96" t="s">
        <v>86</v>
      </c>
      <c r="O56" s="107">
        <v>44545</v>
      </c>
      <c r="P56" s="20">
        <v>44660</v>
      </c>
      <c r="Q56" s="19">
        <v>0</v>
      </c>
      <c r="R56" s="54">
        <f>14886.67+14886.67</f>
        <v>29773.34</v>
      </c>
      <c r="S56" s="56">
        <f>+P56/3</f>
        <v>14886.666666666666</v>
      </c>
      <c r="T56" s="21">
        <f t="shared" si="1"/>
        <v>1240.5555555555554</v>
      </c>
      <c r="U56" s="33">
        <v>1201050000</v>
      </c>
      <c r="V56" s="14" t="s">
        <v>87</v>
      </c>
      <c r="W56" s="14" t="s">
        <v>88</v>
      </c>
      <c r="Y56" s="52"/>
    </row>
    <row r="57" spans="1:25" s="64" customFormat="1" ht="35.25" customHeight="1" x14ac:dyDescent="0.25">
      <c r="A57" s="29"/>
      <c r="B57" s="29"/>
      <c r="C57" s="30"/>
      <c r="D57" s="30"/>
      <c r="E57" s="29"/>
      <c r="F57" s="29"/>
      <c r="G57" s="29"/>
      <c r="H57" s="30"/>
      <c r="I57" s="29"/>
      <c r="J57" s="29"/>
      <c r="K57" s="30"/>
      <c r="L57" s="30"/>
      <c r="M57" s="1"/>
      <c r="N57" s="111"/>
      <c r="O57" s="111"/>
      <c r="P57" s="68">
        <f>SUM(P52:P56)</f>
        <v>71910</v>
      </c>
      <c r="Q57" s="71"/>
      <c r="R57" s="72">
        <f>SUM(R52:R56)</f>
        <v>57023.34</v>
      </c>
      <c r="S57" s="72">
        <f>SUM(S52:S56)</f>
        <v>14886.666666666666</v>
      </c>
      <c r="T57" s="21">
        <f t="shared" si="1"/>
        <v>1240.5555555555554</v>
      </c>
      <c r="U57" s="108" t="s">
        <v>89</v>
      </c>
      <c r="V57" s="108" t="s">
        <v>89</v>
      </c>
      <c r="W57" s="108" t="s">
        <v>89</v>
      </c>
      <c r="Y57" s="52"/>
    </row>
    <row r="60" spans="1:25" x14ac:dyDescent="0.25">
      <c r="P60" s="101"/>
      <c r="Q60" s="34"/>
      <c r="R60" s="34"/>
    </row>
    <row r="61" spans="1:25" x14ac:dyDescent="0.25">
      <c r="Q61" s="34"/>
      <c r="R61" s="34"/>
    </row>
  </sheetData>
  <autoFilter ref="N7:W57" xr:uid="{00000000-0009-0000-0000-000003000000}"/>
  <mergeCells count="8">
    <mergeCell ref="T23:T28"/>
    <mergeCell ref="N45:O45"/>
    <mergeCell ref="N49:O49"/>
    <mergeCell ref="N51:O51"/>
    <mergeCell ref="N57:O57"/>
    <mergeCell ref="Q23:Q28"/>
    <mergeCell ref="R23:R28"/>
    <mergeCell ref="S23:S28"/>
  </mergeCells>
  <printOptions horizontalCentered="1"/>
  <pageMargins left="0.19685039370078741" right="0.19685039370078741" top="0.19685039370078741" bottom="0.19685039370078741" header="0.31496062992125984" footer="0.31496062992125984"/>
  <pageSetup scale="56" fitToHeight="2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3"/>
  <sheetViews>
    <sheetView topLeftCell="A7" zoomScale="85" zoomScaleNormal="85" workbookViewId="0">
      <selection activeCell="D12" sqref="D12"/>
    </sheetView>
  </sheetViews>
  <sheetFormatPr baseColWidth="10" defaultColWidth="11.42578125" defaultRowHeight="15" x14ac:dyDescent="0.25"/>
  <cols>
    <col min="1" max="1" width="38.42578125" style="5" customWidth="1"/>
    <col min="2" max="3" width="13" style="4" customWidth="1"/>
    <col min="4" max="4" width="13.7109375" style="1" customWidth="1"/>
    <col min="5" max="5" width="15.85546875" style="4" customWidth="1"/>
    <col min="6" max="6" width="14.42578125" style="4" customWidth="1"/>
    <col min="7" max="7" width="13.85546875" style="4" customWidth="1"/>
    <col min="8" max="8" width="15" style="1" customWidth="1"/>
    <col min="9" max="9" width="11.28515625" style="1" customWidth="1"/>
    <col min="10" max="10" width="17.7109375" style="4" customWidth="1"/>
    <col min="11" max="11" width="13.85546875" style="4" hidden="1" customWidth="1"/>
    <col min="12" max="12" width="14.7109375" style="76" hidden="1" customWidth="1"/>
    <col min="13" max="13" width="14.7109375" style="88" customWidth="1"/>
    <col min="14" max="14" width="17.28515625" style="1" customWidth="1"/>
    <col min="15" max="15" width="19.42578125" style="1" bestFit="1" customWidth="1"/>
    <col min="16" max="16" width="23.7109375" style="1" customWidth="1"/>
    <col min="17" max="16384" width="11.42578125" style="4"/>
  </cols>
  <sheetData>
    <row r="1" spans="1:16" ht="15" customHeight="1" x14ac:dyDescent="0.25">
      <c r="D1" s="6"/>
      <c r="E1" s="3" t="s">
        <v>0</v>
      </c>
      <c r="I1" s="4"/>
      <c r="J1" s="7"/>
    </row>
    <row r="2" spans="1:16" ht="15" customHeight="1" x14ac:dyDescent="0.25">
      <c r="D2" s="6"/>
      <c r="E2" s="3" t="s">
        <v>1</v>
      </c>
      <c r="I2" s="4"/>
      <c r="J2" s="7"/>
    </row>
    <row r="3" spans="1:16" ht="15" customHeight="1" x14ac:dyDescent="0.25">
      <c r="D3" s="6"/>
      <c r="E3" s="3" t="s">
        <v>2</v>
      </c>
      <c r="I3" s="4"/>
      <c r="J3" s="7"/>
    </row>
    <row r="4" spans="1:16" ht="15" customHeight="1" x14ac:dyDescent="0.25">
      <c r="D4" s="6"/>
      <c r="E4" s="3" t="s">
        <v>3</v>
      </c>
      <c r="I4" s="4"/>
      <c r="J4" s="7"/>
    </row>
    <row r="5" spans="1:16" ht="15" customHeight="1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1:16" ht="36.75" customHeight="1" x14ac:dyDescent="0.25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</row>
    <row r="7" spans="1:16" s="2" customFormat="1" ht="33" x14ac:dyDescent="0.25">
      <c r="A7" s="8" t="s">
        <v>16</v>
      </c>
      <c r="B7" s="9" t="s">
        <v>17</v>
      </c>
      <c r="C7" s="9" t="s">
        <v>18</v>
      </c>
      <c r="D7" s="9" t="s">
        <v>19</v>
      </c>
      <c r="E7" s="9" t="s">
        <v>20</v>
      </c>
      <c r="F7" s="9" t="s">
        <v>21</v>
      </c>
      <c r="G7" s="9" t="s">
        <v>22</v>
      </c>
      <c r="H7" s="9" t="s">
        <v>23</v>
      </c>
      <c r="I7" s="8" t="s">
        <v>24</v>
      </c>
      <c r="J7" s="9" t="s">
        <v>25</v>
      </c>
      <c r="K7" s="9" t="s">
        <v>26</v>
      </c>
      <c r="L7" s="77" t="s">
        <v>79</v>
      </c>
      <c r="M7" s="89" t="s">
        <v>81</v>
      </c>
      <c r="N7" s="9" t="s">
        <v>66</v>
      </c>
      <c r="O7" s="9" t="s">
        <v>38</v>
      </c>
      <c r="P7" s="8" t="s">
        <v>39</v>
      </c>
    </row>
    <row r="8" spans="1:16" ht="48.75" customHeight="1" x14ac:dyDescent="0.25">
      <c r="A8" s="31" t="s">
        <v>41</v>
      </c>
      <c r="B8" s="15">
        <v>2007</v>
      </c>
      <c r="C8" s="15">
        <v>47.6</v>
      </c>
      <c r="D8" s="15">
        <v>150</v>
      </c>
      <c r="E8" s="16">
        <v>7140</v>
      </c>
      <c r="F8" s="20">
        <v>5000</v>
      </c>
      <c r="G8" s="20">
        <v>-2140</v>
      </c>
      <c r="H8" s="18" t="s">
        <v>65</v>
      </c>
      <c r="I8" s="19">
        <v>1</v>
      </c>
      <c r="J8" s="54">
        <v>5000</v>
      </c>
      <c r="K8" s="21">
        <v>0</v>
      </c>
      <c r="L8" s="78" t="s">
        <v>72</v>
      </c>
      <c r="M8" s="90">
        <v>0</v>
      </c>
      <c r="N8" s="33">
        <v>1201030000</v>
      </c>
      <c r="O8" s="14" t="s">
        <v>67</v>
      </c>
      <c r="P8" s="14" t="s">
        <v>68</v>
      </c>
    </row>
    <row r="9" spans="1:16" ht="60" customHeight="1" x14ac:dyDescent="0.25">
      <c r="A9" s="31" t="s">
        <v>42</v>
      </c>
      <c r="B9" s="15">
        <v>2007</v>
      </c>
      <c r="C9" s="15">
        <v>47.6</v>
      </c>
      <c r="D9" s="15">
        <v>150</v>
      </c>
      <c r="E9" s="16">
        <v>7140</v>
      </c>
      <c r="F9" s="20">
        <v>3000</v>
      </c>
      <c r="G9" s="20">
        <v>-4140</v>
      </c>
      <c r="H9" s="18" t="s">
        <v>65</v>
      </c>
      <c r="I9" s="19">
        <v>1</v>
      </c>
      <c r="J9" s="54">
        <v>3000</v>
      </c>
      <c r="K9" s="21">
        <v>0</v>
      </c>
      <c r="L9" s="78" t="s">
        <v>72</v>
      </c>
      <c r="M9" s="90">
        <v>0</v>
      </c>
      <c r="N9" s="33">
        <v>1201030000</v>
      </c>
      <c r="O9" s="14" t="s">
        <v>67</v>
      </c>
      <c r="P9" s="14" t="s">
        <v>68</v>
      </c>
    </row>
    <row r="10" spans="1:16" ht="50.1" customHeight="1" x14ac:dyDescent="0.25">
      <c r="A10" s="31" t="s">
        <v>43</v>
      </c>
      <c r="B10" s="15">
        <v>2010</v>
      </c>
      <c r="C10" s="14">
        <v>57.47</v>
      </c>
      <c r="D10" s="15">
        <v>150</v>
      </c>
      <c r="E10" s="16">
        <v>8620.5</v>
      </c>
      <c r="F10" s="20">
        <v>4400</v>
      </c>
      <c r="G10" s="20">
        <v>-4220.5</v>
      </c>
      <c r="H10" s="18" t="s">
        <v>65</v>
      </c>
      <c r="I10" s="19">
        <v>0.9</v>
      </c>
      <c r="J10" s="54">
        <f>3080+440</f>
        <v>3520</v>
      </c>
      <c r="K10" s="21">
        <v>440</v>
      </c>
      <c r="L10" s="79">
        <v>880</v>
      </c>
      <c r="M10" s="90">
        <v>440</v>
      </c>
      <c r="N10" s="33">
        <v>1201030000</v>
      </c>
      <c r="O10" s="14" t="s">
        <v>69</v>
      </c>
      <c r="P10" s="22" t="s">
        <v>35</v>
      </c>
    </row>
    <row r="11" spans="1:16" ht="50.1" customHeight="1" x14ac:dyDescent="0.25">
      <c r="A11" s="31" t="s">
        <v>44</v>
      </c>
      <c r="B11" s="15">
        <v>2010</v>
      </c>
      <c r="C11" s="14">
        <v>57.47</v>
      </c>
      <c r="D11" s="15">
        <v>150</v>
      </c>
      <c r="E11" s="16">
        <v>8620.5</v>
      </c>
      <c r="F11" s="20">
        <v>3500</v>
      </c>
      <c r="G11" s="20">
        <v>-5120.5</v>
      </c>
      <c r="H11" s="18" t="s">
        <v>65</v>
      </c>
      <c r="I11" s="19">
        <v>0.7</v>
      </c>
      <c r="J11" s="54">
        <f>2450+K11</f>
        <v>2800</v>
      </c>
      <c r="K11" s="21">
        <v>350</v>
      </c>
      <c r="L11" s="79">
        <v>700</v>
      </c>
      <c r="M11" s="90">
        <v>350</v>
      </c>
      <c r="N11" s="33">
        <v>1201030000</v>
      </c>
      <c r="O11" s="14" t="s">
        <v>67</v>
      </c>
      <c r="P11" s="14" t="s">
        <v>68</v>
      </c>
    </row>
    <row r="12" spans="1:16" ht="50.1" customHeight="1" x14ac:dyDescent="0.25">
      <c r="A12" s="31" t="s">
        <v>45</v>
      </c>
      <c r="B12" s="15">
        <v>2010</v>
      </c>
      <c r="C12" s="14">
        <v>57.47</v>
      </c>
      <c r="D12" s="15">
        <v>150</v>
      </c>
      <c r="E12" s="16">
        <v>8620.5</v>
      </c>
      <c r="F12" s="20">
        <v>6500</v>
      </c>
      <c r="G12" s="20">
        <v>-2120.5</v>
      </c>
      <c r="H12" s="18" t="s">
        <v>65</v>
      </c>
      <c r="I12" s="19">
        <v>1</v>
      </c>
      <c r="J12" s="54">
        <v>6500</v>
      </c>
      <c r="K12" s="21">
        <v>0</v>
      </c>
      <c r="L12" s="78" t="s">
        <v>72</v>
      </c>
      <c r="M12" s="90">
        <v>0</v>
      </c>
      <c r="N12" s="33">
        <v>1201030000</v>
      </c>
      <c r="O12" s="14" t="s">
        <v>69</v>
      </c>
      <c r="P12" s="14" t="s">
        <v>35</v>
      </c>
    </row>
    <row r="13" spans="1:16" ht="50.1" customHeight="1" x14ac:dyDescent="0.25">
      <c r="A13" s="31" t="s">
        <v>46</v>
      </c>
      <c r="B13" s="15">
        <v>2011</v>
      </c>
      <c r="C13" s="14">
        <v>56.7</v>
      </c>
      <c r="D13" s="15">
        <v>150</v>
      </c>
      <c r="E13" s="16">
        <v>8505</v>
      </c>
      <c r="F13" s="20">
        <v>2500</v>
      </c>
      <c r="G13" s="20">
        <v>-6005</v>
      </c>
      <c r="H13" s="18" t="s">
        <v>65</v>
      </c>
      <c r="I13" s="19">
        <v>0.6</v>
      </c>
      <c r="J13" s="54">
        <f>1500+250</f>
        <v>1750</v>
      </c>
      <c r="K13" s="21">
        <v>250</v>
      </c>
      <c r="L13" s="79">
        <v>750</v>
      </c>
      <c r="M13" s="90">
        <v>250</v>
      </c>
      <c r="N13" s="33">
        <v>1201030000</v>
      </c>
      <c r="O13" s="14" t="s">
        <v>69</v>
      </c>
      <c r="P13" s="14" t="s">
        <v>35</v>
      </c>
    </row>
    <row r="14" spans="1:16" ht="50.1" customHeight="1" x14ac:dyDescent="0.25">
      <c r="A14" s="31" t="s">
        <v>47</v>
      </c>
      <c r="B14" s="15">
        <v>2011</v>
      </c>
      <c r="C14" s="14">
        <v>56.7</v>
      </c>
      <c r="D14" s="15">
        <v>150</v>
      </c>
      <c r="E14" s="16">
        <v>8505</v>
      </c>
      <c r="F14" s="20">
        <v>2500</v>
      </c>
      <c r="G14" s="20">
        <v>-6005</v>
      </c>
      <c r="H14" s="18" t="s">
        <v>65</v>
      </c>
      <c r="I14" s="19">
        <v>1</v>
      </c>
      <c r="J14" s="54">
        <v>2500</v>
      </c>
      <c r="K14" s="21">
        <v>0</v>
      </c>
      <c r="L14" s="78" t="s">
        <v>72</v>
      </c>
      <c r="M14" s="90">
        <v>0</v>
      </c>
      <c r="N14" s="33">
        <v>1201030000</v>
      </c>
      <c r="O14" s="14" t="s">
        <v>67</v>
      </c>
      <c r="P14" s="14" t="s">
        <v>68</v>
      </c>
    </row>
    <row r="15" spans="1:16" ht="50.1" customHeight="1" x14ac:dyDescent="0.25">
      <c r="A15" s="23" t="s">
        <v>48</v>
      </c>
      <c r="B15" s="15">
        <v>2012</v>
      </c>
      <c r="C15" s="14">
        <v>59.08</v>
      </c>
      <c r="D15" s="15">
        <v>150</v>
      </c>
      <c r="E15" s="16">
        <v>8862</v>
      </c>
      <c r="F15" s="17">
        <v>8500</v>
      </c>
      <c r="G15" s="17">
        <v>-362</v>
      </c>
      <c r="H15" s="18" t="s">
        <v>65</v>
      </c>
      <c r="I15" s="19">
        <v>1</v>
      </c>
      <c r="J15" s="54">
        <v>8500</v>
      </c>
      <c r="K15" s="21">
        <v>0</v>
      </c>
      <c r="L15" s="78" t="s">
        <v>72</v>
      </c>
      <c r="M15" s="90">
        <v>0</v>
      </c>
      <c r="N15" s="33">
        <v>1201030000</v>
      </c>
      <c r="O15" s="14" t="s">
        <v>67</v>
      </c>
      <c r="P15" s="14" t="s">
        <v>68</v>
      </c>
    </row>
    <row r="16" spans="1:16" ht="50.1" customHeight="1" x14ac:dyDescent="0.25">
      <c r="A16" s="23" t="s">
        <v>49</v>
      </c>
      <c r="B16" s="15">
        <v>2012</v>
      </c>
      <c r="C16" s="14">
        <v>59.08</v>
      </c>
      <c r="D16" s="15">
        <v>150</v>
      </c>
      <c r="E16" s="16">
        <v>8862</v>
      </c>
      <c r="F16" s="17">
        <v>4800</v>
      </c>
      <c r="G16" s="17">
        <v>-4062</v>
      </c>
      <c r="H16" s="18" t="s">
        <v>65</v>
      </c>
      <c r="I16" s="19">
        <v>1</v>
      </c>
      <c r="J16" s="54">
        <v>4800</v>
      </c>
      <c r="K16" s="21">
        <v>0</v>
      </c>
      <c r="L16" s="78" t="s">
        <v>72</v>
      </c>
      <c r="M16" s="90">
        <v>0</v>
      </c>
      <c r="N16" s="33">
        <v>1201030000</v>
      </c>
      <c r="O16" s="14" t="s">
        <v>67</v>
      </c>
      <c r="P16" s="14" t="s">
        <v>68</v>
      </c>
    </row>
    <row r="17" spans="1:18" ht="50.1" customHeight="1" x14ac:dyDescent="0.25">
      <c r="A17" s="31" t="s">
        <v>50</v>
      </c>
      <c r="B17" s="15">
        <v>2012</v>
      </c>
      <c r="C17" s="14">
        <v>59.08</v>
      </c>
      <c r="D17" s="15">
        <v>150</v>
      </c>
      <c r="E17" s="16">
        <v>8862</v>
      </c>
      <c r="F17" s="20">
        <v>2740</v>
      </c>
      <c r="G17" s="20">
        <v>-6122</v>
      </c>
      <c r="H17" s="18" t="s">
        <v>65</v>
      </c>
      <c r="I17" s="19">
        <v>1</v>
      </c>
      <c r="J17" s="54">
        <v>2740</v>
      </c>
      <c r="K17" s="21">
        <v>0</v>
      </c>
      <c r="L17" s="78" t="s">
        <v>72</v>
      </c>
      <c r="M17" s="90">
        <v>0</v>
      </c>
      <c r="N17" s="33">
        <v>1201030000</v>
      </c>
      <c r="O17" s="14" t="s">
        <v>70</v>
      </c>
      <c r="P17" s="14" t="s">
        <v>35</v>
      </c>
    </row>
    <row r="18" spans="1:18" ht="50.1" customHeight="1" x14ac:dyDescent="0.25">
      <c r="A18" s="26" t="s">
        <v>51</v>
      </c>
      <c r="B18" s="14">
        <v>2012</v>
      </c>
      <c r="C18" s="14">
        <v>59.08</v>
      </c>
      <c r="D18" s="14">
        <v>150</v>
      </c>
      <c r="E18" s="24">
        <v>8862</v>
      </c>
      <c r="F18" s="20">
        <v>3000</v>
      </c>
      <c r="G18" s="20">
        <v>-5862</v>
      </c>
      <c r="H18" s="18" t="s">
        <v>65</v>
      </c>
      <c r="I18" s="19">
        <v>0.5</v>
      </c>
      <c r="J18" s="54">
        <f>1500+300</f>
        <v>1800</v>
      </c>
      <c r="K18" s="21">
        <v>300</v>
      </c>
      <c r="L18" s="79">
        <v>1200</v>
      </c>
      <c r="M18" s="90">
        <v>300</v>
      </c>
      <c r="N18" s="33">
        <v>1201030000</v>
      </c>
      <c r="O18" s="14" t="s">
        <v>70</v>
      </c>
      <c r="P18" s="14" t="s">
        <v>35</v>
      </c>
    </row>
    <row r="19" spans="1:18" ht="50.1" customHeight="1" x14ac:dyDescent="0.25">
      <c r="A19" s="23" t="s">
        <v>52</v>
      </c>
      <c r="B19" s="15">
        <v>2013</v>
      </c>
      <c r="C19" s="14">
        <v>61.38</v>
      </c>
      <c r="D19" s="15">
        <v>150</v>
      </c>
      <c r="E19" s="16">
        <v>9207</v>
      </c>
      <c r="F19" s="17">
        <v>3500</v>
      </c>
      <c r="G19" s="17">
        <v>-5707</v>
      </c>
      <c r="H19" s="18" t="s">
        <v>65</v>
      </c>
      <c r="I19" s="19">
        <v>1</v>
      </c>
      <c r="J19" s="54">
        <v>3500</v>
      </c>
      <c r="K19" s="21">
        <v>0</v>
      </c>
      <c r="L19" s="78" t="s">
        <v>72</v>
      </c>
      <c r="M19" s="90">
        <v>0</v>
      </c>
      <c r="N19" s="33">
        <v>1201030000</v>
      </c>
      <c r="O19" s="14" t="s">
        <v>32</v>
      </c>
      <c r="P19" s="14" t="s">
        <v>35</v>
      </c>
    </row>
    <row r="20" spans="1:18" ht="50.1" customHeight="1" x14ac:dyDescent="0.25">
      <c r="A20" s="26" t="s">
        <v>53</v>
      </c>
      <c r="B20" s="14">
        <v>2013</v>
      </c>
      <c r="C20" s="14">
        <v>61.38</v>
      </c>
      <c r="D20" s="14">
        <v>150</v>
      </c>
      <c r="E20" s="24">
        <v>9207</v>
      </c>
      <c r="F20" s="20">
        <v>3900</v>
      </c>
      <c r="G20" s="20">
        <v>-5307</v>
      </c>
      <c r="H20" s="18" t="s">
        <v>65</v>
      </c>
      <c r="I20" s="19">
        <v>0.5</v>
      </c>
      <c r="J20" s="54">
        <f>1950+390</f>
        <v>2340</v>
      </c>
      <c r="K20" s="21">
        <v>390</v>
      </c>
      <c r="L20" s="79">
        <v>1560</v>
      </c>
      <c r="M20" s="90">
        <v>390</v>
      </c>
      <c r="N20" s="33">
        <v>1201030000</v>
      </c>
      <c r="O20" s="14" t="s">
        <v>69</v>
      </c>
      <c r="P20" s="14" t="s">
        <v>33</v>
      </c>
    </row>
    <row r="21" spans="1:18" ht="50.1" customHeight="1" x14ac:dyDescent="0.25">
      <c r="A21" s="26" t="s">
        <v>54</v>
      </c>
      <c r="B21" s="14">
        <v>2014</v>
      </c>
      <c r="C21" s="14">
        <v>63.77</v>
      </c>
      <c r="D21" s="14">
        <v>150</v>
      </c>
      <c r="E21" s="24">
        <v>9565.5</v>
      </c>
      <c r="F21" s="20">
        <v>6500</v>
      </c>
      <c r="G21" s="20">
        <v>-3065.5</v>
      </c>
      <c r="H21" s="18" t="s">
        <v>65</v>
      </c>
      <c r="I21" s="19">
        <v>0.8</v>
      </c>
      <c r="J21" s="54">
        <f>5200+650</f>
        <v>5850</v>
      </c>
      <c r="K21" s="21">
        <v>650</v>
      </c>
      <c r="L21" s="79">
        <v>650</v>
      </c>
      <c r="M21" s="90">
        <v>650</v>
      </c>
      <c r="N21" s="33">
        <v>1201030000</v>
      </c>
      <c r="O21" s="14" t="s">
        <v>69</v>
      </c>
      <c r="P21" s="14" t="s">
        <v>33</v>
      </c>
    </row>
    <row r="22" spans="1:18" ht="50.1" customHeight="1" x14ac:dyDescent="0.25">
      <c r="A22" s="26" t="s">
        <v>55</v>
      </c>
      <c r="B22" s="14">
        <v>2015</v>
      </c>
      <c r="C22" s="14">
        <v>68.28</v>
      </c>
      <c r="D22" s="14">
        <v>150</v>
      </c>
      <c r="E22" s="24">
        <v>10242</v>
      </c>
      <c r="F22" s="20">
        <v>4257</v>
      </c>
      <c r="G22" s="20">
        <v>-5985</v>
      </c>
      <c r="H22" s="18" t="s">
        <v>65</v>
      </c>
      <c r="I22" s="19">
        <v>0.2</v>
      </c>
      <c r="J22" s="54">
        <f>851.4+425.7</f>
        <v>1277.0999999999999</v>
      </c>
      <c r="K22" s="21">
        <v>425.70000000000005</v>
      </c>
      <c r="L22" s="79">
        <v>2979.8999999999996</v>
      </c>
      <c r="M22" s="90">
        <v>425.7</v>
      </c>
      <c r="N22" s="33">
        <v>1201030000</v>
      </c>
      <c r="O22" s="14"/>
      <c r="P22" s="14" t="s">
        <v>68</v>
      </c>
    </row>
    <row r="23" spans="1:18" ht="92.25" customHeight="1" x14ac:dyDescent="0.25">
      <c r="A23" s="31" t="s">
        <v>80</v>
      </c>
      <c r="B23" s="14">
        <v>2017</v>
      </c>
      <c r="C23" s="14">
        <v>73.040000000000006</v>
      </c>
      <c r="D23" s="14">
        <v>150</v>
      </c>
      <c r="E23" s="24">
        <v>10956.000000000002</v>
      </c>
      <c r="F23" s="20">
        <v>18892.919999999998</v>
      </c>
      <c r="G23" s="20">
        <v>-5985</v>
      </c>
      <c r="H23" s="44" t="str">
        <f>IF(G23&lt;0,"NO","SI")</f>
        <v>NO</v>
      </c>
      <c r="I23" s="19">
        <v>0.1</v>
      </c>
      <c r="J23" s="54">
        <f>2014.9+1889.27</f>
        <v>3904.17</v>
      </c>
      <c r="K23" s="21">
        <v>1889.27</v>
      </c>
      <c r="L23" s="79">
        <v>14988.749999999996</v>
      </c>
      <c r="M23" s="90">
        <v>1889.29</v>
      </c>
      <c r="N23" s="33"/>
      <c r="O23" s="14"/>
      <c r="P23" s="14"/>
    </row>
    <row r="24" spans="1:18" ht="50.1" customHeight="1" x14ac:dyDescent="0.25">
      <c r="A24" s="31" t="s">
        <v>73</v>
      </c>
      <c r="B24" s="14">
        <v>2011</v>
      </c>
      <c r="C24" s="14">
        <v>56.7</v>
      </c>
      <c r="D24" s="14">
        <v>150</v>
      </c>
      <c r="E24" s="16">
        <f>+C24*D24</f>
        <v>8505</v>
      </c>
      <c r="F24" s="20">
        <v>9000</v>
      </c>
      <c r="G24" s="20"/>
      <c r="H24" s="18"/>
      <c r="I24" s="19">
        <v>0.1</v>
      </c>
      <c r="J24" s="24">
        <f>5400+900</f>
        <v>6300</v>
      </c>
      <c r="K24" s="24">
        <v>900</v>
      </c>
      <c r="L24" s="79">
        <v>2700</v>
      </c>
      <c r="M24" s="90">
        <v>900</v>
      </c>
      <c r="N24" s="33"/>
      <c r="O24" s="14"/>
      <c r="P24" s="14"/>
    </row>
    <row r="25" spans="1:18" ht="50.1" customHeight="1" x14ac:dyDescent="0.25">
      <c r="A25" s="43" t="s">
        <v>31</v>
      </c>
      <c r="B25" s="42">
        <v>2015</v>
      </c>
      <c r="C25" s="42">
        <v>68.28</v>
      </c>
      <c r="D25" s="42">
        <v>150</v>
      </c>
      <c r="E25" s="73">
        <f>+C25*D25</f>
        <v>10242</v>
      </c>
      <c r="F25" s="40">
        <v>13016.4</v>
      </c>
      <c r="G25" s="40">
        <f>+F25-E25</f>
        <v>2774.3999999999996</v>
      </c>
      <c r="H25" s="44" t="str">
        <f>IF(G25&lt;0,"NO","SI")</f>
        <v>SI</v>
      </c>
      <c r="I25" s="45">
        <v>0.65</v>
      </c>
      <c r="J25" s="46">
        <f>5857.38+1301.64</f>
        <v>7159.02</v>
      </c>
      <c r="K25" s="47">
        <v>1301.6400000000001</v>
      </c>
      <c r="L25" s="80">
        <v>5857.3799999999992</v>
      </c>
      <c r="M25" s="91">
        <v>1301.6400000000001</v>
      </c>
      <c r="N25" s="48">
        <v>1201030000</v>
      </c>
      <c r="O25" s="42" t="s">
        <v>32</v>
      </c>
      <c r="P25" s="49" t="s">
        <v>33</v>
      </c>
      <c r="Q25" s="52">
        <v>4400</v>
      </c>
      <c r="R25" s="4">
        <v>100</v>
      </c>
    </row>
    <row r="26" spans="1:18" ht="50.1" customHeight="1" x14ac:dyDescent="0.25">
      <c r="A26" s="53" t="s">
        <v>27</v>
      </c>
      <c r="B26" s="15">
        <v>2007</v>
      </c>
      <c r="C26" s="15">
        <v>47.6</v>
      </c>
      <c r="D26" s="15">
        <v>150</v>
      </c>
      <c r="E26" s="16">
        <f>+C26*D26</f>
        <v>7140</v>
      </c>
      <c r="F26" s="17">
        <v>25000</v>
      </c>
      <c r="G26" s="17">
        <f>+F26-E26</f>
        <v>17860</v>
      </c>
      <c r="H26" s="18" t="str">
        <f>IF(G26&lt;0,"NO","SI")</f>
        <v>SI</v>
      </c>
      <c r="I26" s="19">
        <v>1</v>
      </c>
      <c r="J26" s="54">
        <v>25000</v>
      </c>
      <c r="K26" s="21">
        <v>0</v>
      </c>
      <c r="L26" s="78" t="s">
        <v>72</v>
      </c>
      <c r="M26" s="90">
        <v>0</v>
      </c>
      <c r="N26" s="33">
        <v>1201030000</v>
      </c>
      <c r="O26" s="14"/>
      <c r="P26" s="22" t="s">
        <v>28</v>
      </c>
      <c r="Q26" s="52">
        <f>3520+440</f>
        <v>3960</v>
      </c>
      <c r="R26" s="52">
        <f>+Q26*R25/Q25</f>
        <v>90</v>
      </c>
    </row>
    <row r="27" spans="1:18" ht="50.1" customHeight="1" x14ac:dyDescent="0.25">
      <c r="A27" s="32" t="s">
        <v>29</v>
      </c>
      <c r="B27" s="14">
        <v>2009</v>
      </c>
      <c r="C27" s="14">
        <v>51.95</v>
      </c>
      <c r="D27" s="14">
        <v>150</v>
      </c>
      <c r="E27" s="24">
        <f>+C27*D27</f>
        <v>7792.5</v>
      </c>
      <c r="F27" s="17">
        <v>15000</v>
      </c>
      <c r="G27" s="17">
        <f>+F27-E27</f>
        <v>7207.5</v>
      </c>
      <c r="H27" s="18" t="str">
        <f>IF(G27&lt;0,"NO","SI")</f>
        <v>SI</v>
      </c>
      <c r="I27" s="19">
        <v>1</v>
      </c>
      <c r="J27" s="54">
        <v>15000</v>
      </c>
      <c r="K27" s="21">
        <v>0</v>
      </c>
      <c r="L27" s="78" t="s">
        <v>72</v>
      </c>
      <c r="M27" s="90">
        <v>0</v>
      </c>
      <c r="N27" s="33">
        <v>1201030000</v>
      </c>
      <c r="O27" s="14"/>
      <c r="P27" s="22" t="s">
        <v>28</v>
      </c>
    </row>
    <row r="28" spans="1:18" ht="50.1" customHeight="1" x14ac:dyDescent="0.25">
      <c r="A28" s="23" t="s">
        <v>30</v>
      </c>
      <c r="B28" s="15">
        <v>2009</v>
      </c>
      <c r="C28" s="14">
        <v>51.95</v>
      </c>
      <c r="D28" s="15">
        <v>150</v>
      </c>
      <c r="E28" s="16">
        <f>+C28*D28</f>
        <v>7792.5</v>
      </c>
      <c r="F28" s="17">
        <v>18500</v>
      </c>
      <c r="G28" s="17">
        <f>+F28-E28</f>
        <v>10707.5</v>
      </c>
      <c r="H28" s="18" t="str">
        <f>IF(G28&lt;0,"NO","SI")</f>
        <v>SI</v>
      </c>
      <c r="I28" s="19">
        <v>1</v>
      </c>
      <c r="J28" s="54">
        <v>18500</v>
      </c>
      <c r="K28" s="21">
        <v>0</v>
      </c>
      <c r="L28" s="78" t="s">
        <v>72</v>
      </c>
      <c r="M28" s="90">
        <v>0</v>
      </c>
      <c r="N28" s="33">
        <v>1201030000</v>
      </c>
      <c r="O28" s="14" t="s">
        <v>32</v>
      </c>
      <c r="P28" s="22" t="s">
        <v>33</v>
      </c>
    </row>
    <row r="29" spans="1:18" s="64" customFormat="1" ht="50.1" customHeight="1" x14ac:dyDescent="0.25">
      <c r="A29" s="118" t="s">
        <v>75</v>
      </c>
      <c r="B29" s="110"/>
      <c r="C29" s="110"/>
      <c r="D29" s="110"/>
      <c r="E29" s="119"/>
      <c r="F29" s="57">
        <f>SUM(F8:F28)</f>
        <v>164006.32</v>
      </c>
      <c r="G29" s="57"/>
      <c r="H29" s="58"/>
      <c r="I29" s="59"/>
      <c r="J29" s="60">
        <f>SUM(J8:J28)</f>
        <v>131740.28999999998</v>
      </c>
      <c r="K29" s="60">
        <f>SUM(K8:K28)</f>
        <v>6896.61</v>
      </c>
      <c r="L29" s="81"/>
      <c r="M29" s="92">
        <f>SUM(M8:M28)</f>
        <v>6896.63</v>
      </c>
      <c r="N29" s="61"/>
      <c r="O29" s="62"/>
      <c r="P29" s="63"/>
    </row>
    <row r="30" spans="1:18" ht="50.1" customHeight="1" x14ac:dyDescent="0.25">
      <c r="A30" s="51" t="s">
        <v>36</v>
      </c>
      <c r="B30" s="14">
        <v>2018</v>
      </c>
      <c r="C30" s="14">
        <v>88.36</v>
      </c>
      <c r="D30" s="14">
        <v>150</v>
      </c>
      <c r="E30" s="24">
        <f>+C30*D30</f>
        <v>13254</v>
      </c>
      <c r="F30" s="21">
        <v>295000</v>
      </c>
      <c r="G30" s="21">
        <f>+F30-E30</f>
        <v>281746</v>
      </c>
      <c r="H30" s="24" t="str">
        <f>IF(G30&lt;0,"NO","SI")</f>
        <v>SI</v>
      </c>
      <c r="I30" s="19">
        <v>0.25</v>
      </c>
      <c r="J30" s="21">
        <v>0</v>
      </c>
      <c r="K30" s="21">
        <v>0</v>
      </c>
      <c r="L30" s="82">
        <v>0</v>
      </c>
      <c r="M30" s="93">
        <v>73750</v>
      </c>
      <c r="N30" s="33">
        <v>1201040000</v>
      </c>
      <c r="O30" s="14" t="s">
        <v>37</v>
      </c>
      <c r="P30" s="22" t="s">
        <v>35</v>
      </c>
    </row>
    <row r="31" spans="1:18" ht="75" x14ac:dyDescent="0.25">
      <c r="A31" s="51" t="s">
        <v>74</v>
      </c>
      <c r="B31" s="14">
        <v>2019</v>
      </c>
      <c r="C31" s="14">
        <v>84.49</v>
      </c>
      <c r="D31" s="14">
        <v>150</v>
      </c>
      <c r="E31" s="16">
        <f>+C31*D31</f>
        <v>12673.5</v>
      </c>
      <c r="F31" s="20">
        <v>280300</v>
      </c>
      <c r="G31" s="20">
        <f>+F31-E31</f>
        <v>267626.5</v>
      </c>
      <c r="H31" s="18" t="str">
        <f>IF(G31&lt;0,"NO","SI")</f>
        <v>SI</v>
      </c>
      <c r="I31" s="87">
        <v>2.0833333333333332E-2</v>
      </c>
      <c r="J31" s="54">
        <v>0</v>
      </c>
      <c r="K31" s="54">
        <v>0</v>
      </c>
      <c r="L31" s="83">
        <v>0</v>
      </c>
      <c r="M31" s="88">
        <v>5839.58</v>
      </c>
      <c r="N31" s="33">
        <v>1201040000</v>
      </c>
      <c r="O31" s="14" t="s">
        <v>37</v>
      </c>
      <c r="P31" s="22" t="s">
        <v>35</v>
      </c>
    </row>
    <row r="32" spans="1:18" s="64" customFormat="1" ht="50.1" customHeight="1" x14ac:dyDescent="0.25">
      <c r="A32" s="118" t="s">
        <v>76</v>
      </c>
      <c r="B32" s="110"/>
      <c r="C32" s="110"/>
      <c r="D32" s="110"/>
      <c r="E32" s="119"/>
      <c r="F32" s="65">
        <f>SUM(F30:F31)</f>
        <v>575300</v>
      </c>
      <c r="G32" s="66"/>
      <c r="H32" s="66"/>
      <c r="I32" s="67"/>
      <c r="J32" s="60">
        <f>SUM(J30:J31)</f>
        <v>0</v>
      </c>
      <c r="K32" s="60">
        <v>0</v>
      </c>
      <c r="L32" s="81"/>
      <c r="M32" s="94">
        <f>+M30+M31</f>
        <v>79589.58</v>
      </c>
      <c r="N32" s="61"/>
      <c r="O32" s="62"/>
      <c r="P32" s="63"/>
    </row>
    <row r="33" spans="1:16" ht="50.1" customHeight="1" x14ac:dyDescent="0.25">
      <c r="A33" s="23" t="s">
        <v>34</v>
      </c>
      <c r="B33" s="15">
        <v>2014</v>
      </c>
      <c r="C33" s="14">
        <v>63.7</v>
      </c>
      <c r="D33" s="15">
        <v>150</v>
      </c>
      <c r="E33" s="16">
        <f>+C33*D33</f>
        <v>9555</v>
      </c>
      <c r="F33" s="20">
        <v>15148.45</v>
      </c>
      <c r="G33" s="20">
        <f>+F33-E33</f>
        <v>5593.4500000000007</v>
      </c>
      <c r="H33" s="18" t="str">
        <f>IF(G33&lt;0,"NO","SI")</f>
        <v>SI</v>
      </c>
      <c r="I33" s="27">
        <f>+J33/F33</f>
        <v>0.99997029399047421</v>
      </c>
      <c r="J33" s="54">
        <v>15148</v>
      </c>
      <c r="K33" s="54">
        <v>0</v>
      </c>
      <c r="L33" s="84">
        <v>0</v>
      </c>
      <c r="M33" s="90">
        <v>0</v>
      </c>
      <c r="N33" s="33">
        <v>1201060000</v>
      </c>
      <c r="O33" s="14" t="s">
        <v>32</v>
      </c>
      <c r="P33" s="22" t="s">
        <v>35</v>
      </c>
    </row>
    <row r="34" spans="1:16" s="64" customFormat="1" ht="50.1" customHeight="1" x14ac:dyDescent="0.25">
      <c r="A34" s="110" t="s">
        <v>77</v>
      </c>
      <c r="B34" s="110"/>
      <c r="C34" s="110"/>
      <c r="D34" s="110"/>
      <c r="E34" s="119"/>
      <c r="F34" s="68">
        <f>+F33</f>
        <v>15148.45</v>
      </c>
      <c r="G34" s="68"/>
      <c r="H34" s="58"/>
      <c r="I34" s="69"/>
      <c r="J34" s="60">
        <v>15148</v>
      </c>
      <c r="K34" s="60">
        <v>0</v>
      </c>
      <c r="L34" s="85">
        <v>0</v>
      </c>
      <c r="M34" s="95">
        <v>0</v>
      </c>
      <c r="N34" s="61"/>
      <c r="O34" s="62"/>
      <c r="P34" s="63"/>
    </row>
    <row r="35" spans="1:16" ht="50.1" customHeight="1" x14ac:dyDescent="0.25">
      <c r="A35" s="32" t="s">
        <v>62</v>
      </c>
      <c r="B35" s="15">
        <v>2010</v>
      </c>
      <c r="C35" s="14">
        <v>57.47</v>
      </c>
      <c r="D35" s="15">
        <v>150</v>
      </c>
      <c r="E35" s="16">
        <v>8620.5</v>
      </c>
      <c r="F35" s="20">
        <v>7500</v>
      </c>
      <c r="G35" s="20">
        <v>-1120.5</v>
      </c>
      <c r="H35" s="18" t="s">
        <v>65</v>
      </c>
      <c r="I35" s="55">
        <v>1</v>
      </c>
      <c r="J35" s="54">
        <v>7500</v>
      </c>
      <c r="K35" s="56">
        <v>0</v>
      </c>
      <c r="L35" s="78" t="s">
        <v>72</v>
      </c>
      <c r="M35" s="90">
        <v>0</v>
      </c>
      <c r="N35" s="33">
        <v>1201050000</v>
      </c>
      <c r="O35" s="14" t="s">
        <v>69</v>
      </c>
      <c r="P35" s="14" t="s">
        <v>33</v>
      </c>
    </row>
    <row r="36" spans="1:16" ht="50.1" customHeight="1" x14ac:dyDescent="0.25">
      <c r="A36" s="32" t="s">
        <v>63</v>
      </c>
      <c r="B36" s="15">
        <v>2010</v>
      </c>
      <c r="C36" s="14">
        <v>57.47</v>
      </c>
      <c r="D36" s="15">
        <v>150</v>
      </c>
      <c r="E36" s="16">
        <v>8620.5</v>
      </c>
      <c r="F36" s="20">
        <v>2750</v>
      </c>
      <c r="G36" s="20">
        <v>-5870.5</v>
      </c>
      <c r="H36" s="18" t="s">
        <v>65</v>
      </c>
      <c r="I36" s="55">
        <v>1</v>
      </c>
      <c r="J36" s="54">
        <v>2750</v>
      </c>
      <c r="K36" s="56">
        <v>0</v>
      </c>
      <c r="L36" s="78" t="s">
        <v>72</v>
      </c>
      <c r="M36" s="90">
        <v>0</v>
      </c>
      <c r="N36" s="33">
        <v>1201050000</v>
      </c>
      <c r="O36" s="14" t="s">
        <v>69</v>
      </c>
      <c r="P36" s="14" t="s">
        <v>33</v>
      </c>
    </row>
    <row r="37" spans="1:16" ht="50.1" customHeight="1" x14ac:dyDescent="0.25">
      <c r="A37" s="32" t="s">
        <v>64</v>
      </c>
      <c r="B37" s="15">
        <v>2011</v>
      </c>
      <c r="C37" s="14">
        <v>56.7</v>
      </c>
      <c r="D37" s="15">
        <v>150</v>
      </c>
      <c r="E37" s="16">
        <v>8505</v>
      </c>
      <c r="F37" s="20">
        <v>8500</v>
      </c>
      <c r="G37" s="20">
        <v>-5</v>
      </c>
      <c r="H37" s="18" t="s">
        <v>65</v>
      </c>
      <c r="I37" s="55">
        <v>1</v>
      </c>
      <c r="J37" s="54">
        <v>8500</v>
      </c>
      <c r="K37" s="56">
        <v>0</v>
      </c>
      <c r="L37" s="78" t="s">
        <v>72</v>
      </c>
      <c r="M37" s="90">
        <v>0</v>
      </c>
      <c r="N37" s="33">
        <v>1201050000</v>
      </c>
      <c r="O37" s="14" t="s">
        <v>71</v>
      </c>
      <c r="P37" s="14" t="s">
        <v>33</v>
      </c>
    </row>
    <row r="38" spans="1:16" ht="50.1" customHeight="1" x14ac:dyDescent="0.25">
      <c r="A38" s="32" t="s">
        <v>62</v>
      </c>
      <c r="B38" s="15">
        <v>2011</v>
      </c>
      <c r="C38" s="14">
        <v>56.7</v>
      </c>
      <c r="D38" s="15">
        <v>150</v>
      </c>
      <c r="E38" s="16">
        <v>8505</v>
      </c>
      <c r="F38" s="20">
        <v>8500</v>
      </c>
      <c r="G38" s="20">
        <v>-5</v>
      </c>
      <c r="H38" s="18" t="s">
        <v>65</v>
      </c>
      <c r="I38" s="19">
        <v>1</v>
      </c>
      <c r="J38" s="54">
        <v>8500</v>
      </c>
      <c r="K38" s="56">
        <v>0</v>
      </c>
      <c r="L38" s="78" t="s">
        <v>72</v>
      </c>
      <c r="M38" s="90">
        <v>0</v>
      </c>
      <c r="N38" s="33">
        <v>1201050000</v>
      </c>
      <c r="O38" s="14" t="s">
        <v>32</v>
      </c>
      <c r="P38" s="14" t="s">
        <v>33</v>
      </c>
    </row>
    <row r="39" spans="1:16" s="64" customFormat="1" ht="35.25" customHeight="1" x14ac:dyDescent="0.25">
      <c r="A39" s="120" t="s">
        <v>78</v>
      </c>
      <c r="B39" s="120"/>
      <c r="C39" s="120"/>
      <c r="D39" s="120"/>
      <c r="E39" s="120"/>
      <c r="F39" s="68">
        <f>SUM(F35:F38)</f>
        <v>27250</v>
      </c>
      <c r="G39" s="70"/>
      <c r="H39" s="71"/>
      <c r="I39" s="71"/>
      <c r="J39" s="72">
        <f>SUM(J35:J38)</f>
        <v>27250</v>
      </c>
      <c r="K39" s="60">
        <v>0</v>
      </c>
      <c r="L39" s="86"/>
      <c r="M39" s="92"/>
      <c r="N39" s="62"/>
      <c r="O39" s="62"/>
      <c r="P39" s="62"/>
    </row>
    <row r="40" spans="1:16" x14ac:dyDescent="0.25">
      <c r="H40" s="35"/>
    </row>
    <row r="42" spans="1:16" x14ac:dyDescent="0.25">
      <c r="D42" s="34"/>
      <c r="E42" s="34"/>
      <c r="G42" s="34"/>
      <c r="H42" s="34"/>
      <c r="I42" s="34"/>
      <c r="J42" s="34"/>
    </row>
    <row r="43" spans="1:16" x14ac:dyDescent="0.25">
      <c r="D43" s="34"/>
      <c r="E43" s="34"/>
      <c r="G43" s="34"/>
      <c r="H43" s="34"/>
      <c r="I43" s="34"/>
      <c r="J43" s="34"/>
    </row>
  </sheetData>
  <autoFilter ref="A7:P38" xr:uid="{00000000-0009-0000-0000-000004000000}"/>
  <mergeCells count="5">
    <mergeCell ref="A29:E29"/>
    <mergeCell ref="A32:E32"/>
    <mergeCell ref="A34:E34"/>
    <mergeCell ref="A39:E39"/>
    <mergeCell ref="A5:P6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2024</vt:lpstr>
      <vt:lpstr>Todos (2)</vt:lpstr>
      <vt:lpstr>'2024'!Área_de_impresión</vt:lpstr>
      <vt:lpstr>'Todos (2)'!Área_de_impresión</vt:lpstr>
      <vt:lpstr>'2024'!Títulos_a_imprimir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5000 SERIES</dc:creator>
  <cp:lastModifiedBy>Dream Services Company</cp:lastModifiedBy>
  <cp:lastPrinted>2022-02-04T05:40:30Z</cp:lastPrinted>
  <dcterms:created xsi:type="dcterms:W3CDTF">2019-07-14T17:10:55Z</dcterms:created>
  <dcterms:modified xsi:type="dcterms:W3CDTF">2024-02-16T17:10:14Z</dcterms:modified>
</cp:coreProperties>
</file>